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https://ltvse-my.sharepoint.com/personal/marten_blomberg_regionvastmanland_se/Documents/"/>
    </mc:Choice>
  </mc:AlternateContent>
  <xr:revisionPtr revIDLastSave="495" documentId="8_{90787821-3279-4932-9F9E-3D8C28AC2E9B}" xr6:coauthVersionLast="47" xr6:coauthVersionMax="47" xr10:uidLastSave="{7C06E76B-A955-45E2-A367-5CC2E5EB2279}"/>
  <bookViews>
    <workbookView xWindow="-108" yWindow="-108" windowWidth="46296" windowHeight="25416" xr2:uid="{00000000-000D-0000-FFFF-FFFF00000000}"/>
  </bookViews>
  <sheets>
    <sheet name="Grund kalkyl" sheetId="5" r:id="rId1"/>
    <sheet name="Text" sheetId="2" state="hidden" r:id="rId2"/>
  </sheets>
  <definedNames>
    <definedName name="helgpass">Text!$F$30:$F$32</definedName>
    <definedName name="kväll">Text!$F$35:$F$38</definedName>
    <definedName name="natt">Text!$F$40:$F$45</definedName>
    <definedName name="ålder">Text!$F$25:$F$27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" i="5" l="1"/>
  <c r="G8" i="5"/>
  <c r="H74" i="2"/>
  <c r="I74" i="2" s="1"/>
  <c r="J74" i="2" s="1"/>
  <c r="E32" i="5" s="1"/>
  <c r="H73" i="2"/>
  <c r="L66" i="2"/>
  <c r="L67" i="2"/>
  <c r="L68" i="2"/>
  <c r="L69" i="2"/>
  <c r="L70" i="2"/>
  <c r="L65" i="2"/>
  <c r="K66" i="2"/>
  <c r="K67" i="2"/>
  <c r="K68" i="2"/>
  <c r="K69" i="2"/>
  <c r="K65" i="2"/>
  <c r="J67" i="2"/>
  <c r="J68" i="2"/>
  <c r="J69" i="2"/>
  <c r="I69" i="2"/>
  <c r="I68" i="2"/>
  <c r="I67" i="2"/>
  <c r="I66" i="2"/>
  <c r="J66" i="2" s="1"/>
  <c r="Q28" i="2"/>
  <c r="P28" i="2"/>
  <c r="O28" i="2"/>
  <c r="I73" i="2" l="1"/>
  <c r="J73" i="2" s="1"/>
  <c r="E30" i="5" s="1"/>
  <c r="H45" i="2"/>
  <c r="E15" i="5" l="1"/>
  <c r="L33" i="2"/>
  <c r="I26" i="2"/>
  <c r="I27" i="2"/>
  <c r="I25" i="2"/>
  <c r="L32" i="2"/>
  <c r="N32" i="2" s="1"/>
  <c r="O32" i="2" s="1"/>
  <c r="L31" i="2"/>
  <c r="L30" i="2"/>
  <c r="P32" i="2" l="1"/>
  <c r="P33" i="2" s="1"/>
  <c r="P34" i="2" s="1"/>
  <c r="N34" i="2" s="1"/>
  <c r="J25" i="2"/>
  <c r="K25" i="2" s="1"/>
  <c r="J26" i="2"/>
  <c r="K26" i="2" s="1"/>
  <c r="J27" i="2"/>
  <c r="K27" i="2" s="1"/>
  <c r="H37" i="2"/>
  <c r="H36" i="2"/>
  <c r="H35" i="2"/>
  <c r="H31" i="2"/>
  <c r="H30" i="2"/>
  <c r="K30" i="2" s="1"/>
  <c r="D47" i="2"/>
  <c r="H44" i="2" s="1"/>
  <c r="K31" i="2" l="1"/>
  <c r="H42" i="2"/>
  <c r="H43" i="2"/>
  <c r="H41" i="2"/>
  <c r="K33" i="2"/>
  <c r="E18" i="5" s="1"/>
  <c r="K32" i="2"/>
  <c r="K34" i="2" l="1"/>
  <c r="E16" i="5" s="1"/>
  <c r="E19" i="5" l="1"/>
  <c r="K36" i="2"/>
  <c r="E17" i="5" s="1"/>
  <c r="E24" i="5" l="1"/>
  <c r="E26" i="5" s="1"/>
</calcChain>
</file>

<file path=xl/sharedStrings.xml><?xml version="1.0" encoding="utf-8"?>
<sst xmlns="http://schemas.openxmlformats.org/spreadsheetml/2006/main" count="119" uniqueCount="95">
  <si>
    <t>Kalkyl anställningsförmåner</t>
  </si>
  <si>
    <t>Timlön</t>
  </si>
  <si>
    <t>Summa kronor förmåner/mån individuellt</t>
  </si>
  <si>
    <t>Tillägg i kalkylen</t>
  </si>
  <si>
    <r>
      <t xml:space="preserve">rullist där man kan välja sin </t>
    </r>
    <r>
      <rPr>
        <sz val="11"/>
        <color rgb="FFFF0000"/>
        <rFont val="Cambria"/>
        <family val="2"/>
        <scheme val="minor"/>
      </rPr>
      <t>ålder,</t>
    </r>
    <r>
      <rPr>
        <sz val="11"/>
        <color theme="1"/>
        <rFont val="Cambria"/>
        <family val="2"/>
        <scheme val="minor"/>
      </rPr>
      <t xml:space="preserve"> 25&gt;, 40&gt; 50 år för att räkan ut semester</t>
    </r>
  </si>
  <si>
    <r>
      <t xml:space="preserve">rullist om antal </t>
    </r>
    <r>
      <rPr>
        <sz val="11"/>
        <color rgb="FFFF0000"/>
        <rFont val="Cambria"/>
        <family val="2"/>
        <scheme val="minor"/>
      </rPr>
      <t>helgpass</t>
    </r>
    <r>
      <rPr>
        <sz val="11"/>
        <color theme="1"/>
        <rFont val="Cambria"/>
        <family val="2"/>
        <scheme val="minor"/>
      </rPr>
      <t xml:space="preserve"> per vecka, varannan, 2 helger av 5 </t>
    </r>
  </si>
  <si>
    <r>
      <t xml:space="preserve">rullist om antal </t>
    </r>
    <r>
      <rPr>
        <sz val="11"/>
        <color rgb="FFFF0000"/>
        <rFont val="Cambria"/>
        <family val="2"/>
        <scheme val="minor"/>
      </rPr>
      <t>kvälls</t>
    </r>
    <r>
      <rPr>
        <sz val="11"/>
        <color theme="1"/>
        <rFont val="Cambria"/>
        <family val="2"/>
        <scheme val="minor"/>
      </rPr>
      <t xml:space="preserve"> per vecka</t>
    </r>
  </si>
  <si>
    <r>
      <t xml:space="preserve">rullist om antal </t>
    </r>
    <r>
      <rPr>
        <sz val="11"/>
        <color rgb="FFFF0000"/>
        <rFont val="Cambria"/>
        <family val="2"/>
        <scheme val="minor"/>
      </rPr>
      <t>nätter</t>
    </r>
    <r>
      <rPr>
        <sz val="11"/>
        <color theme="1"/>
        <rFont val="Cambria"/>
        <family val="2"/>
        <scheme val="minor"/>
      </rPr>
      <t xml:space="preserve"> per vecka</t>
    </r>
  </si>
  <si>
    <r>
      <t xml:space="preserve">Exempel: 28 350 kr x 12/365 =932,05 x 1,4 x </t>
    </r>
    <r>
      <rPr>
        <sz val="11"/>
        <color rgb="FFFF0000"/>
        <rFont val="Cambria"/>
        <family val="2"/>
        <scheme val="minor"/>
      </rPr>
      <t>31</t>
    </r>
    <r>
      <rPr>
        <sz val="11"/>
        <color theme="1"/>
        <rFont val="Cambria"/>
        <family val="2"/>
        <scheme val="minor"/>
      </rPr>
      <t xml:space="preserve"> =40 451 kr år /12 = 3371 kr /mån</t>
    </r>
  </si>
  <si>
    <r>
      <t xml:space="preserve">Semester: faktisk månadslön (efter ev deltid) x 12 delat 365 x 1,4 x </t>
    </r>
    <r>
      <rPr>
        <sz val="11"/>
        <color rgb="FFFF0000"/>
        <rFont val="Cambria"/>
        <family val="2"/>
        <scheme val="minor"/>
      </rPr>
      <t>semesterdagar</t>
    </r>
    <r>
      <rPr>
        <sz val="11"/>
        <color theme="1"/>
        <rFont val="Cambria"/>
        <family val="2"/>
        <scheme val="minor"/>
      </rPr>
      <t xml:space="preserve"> 25, 31 eller 32= ger årets semester, dela det med 12 för månad</t>
    </r>
  </si>
  <si>
    <t>OB</t>
  </si>
  <si>
    <t>Formler semester</t>
  </si>
  <si>
    <r>
      <t xml:space="preserve">Kvälls OB, 21,90 kr/tim 'a 3 timmar = </t>
    </r>
    <r>
      <rPr>
        <sz val="11"/>
        <color rgb="FFFF0000"/>
        <rFont val="Cambria"/>
        <family val="2"/>
        <scheme val="minor"/>
      </rPr>
      <t>65,70 kr per kväll</t>
    </r>
  </si>
  <si>
    <r>
      <t>Natt OB 46,30 kr/tim 'a 10 timmar =</t>
    </r>
    <r>
      <rPr>
        <sz val="11"/>
        <color rgb="FFFF0000"/>
        <rFont val="Cambria"/>
        <family val="2"/>
        <scheme val="minor"/>
      </rPr>
      <t>460 kr per nat</t>
    </r>
    <r>
      <rPr>
        <sz val="11"/>
        <color theme="1"/>
        <rFont val="Cambria"/>
        <family val="2"/>
        <scheme val="minor"/>
      </rPr>
      <t>t</t>
    </r>
  </si>
  <si>
    <t>Formel helgpass</t>
  </si>
  <si>
    <t xml:space="preserve">Helg OB 54,10 kr/tim 'a 8 timmar =432,8 kr per helg, </t>
  </si>
  <si>
    <r>
      <t xml:space="preserve">Varannan helg: 1,25 helgpass/v x 432,88 kr per helgpass </t>
    </r>
    <r>
      <rPr>
        <sz val="11"/>
        <color theme="4"/>
        <rFont val="Cambria"/>
        <family val="2"/>
        <scheme val="minor"/>
      </rPr>
      <t xml:space="preserve">541 kr per vecka, </t>
    </r>
    <r>
      <rPr>
        <sz val="11"/>
        <color theme="5"/>
        <rFont val="Cambria"/>
        <family val="2"/>
        <scheme val="minor"/>
      </rPr>
      <t>ta detta genom 4,33 för mån</t>
    </r>
  </si>
  <si>
    <r>
      <t xml:space="preserve">2 helger av 5: 1 helgpass/v x 432,88 kr per helgpass </t>
    </r>
    <r>
      <rPr>
        <sz val="11"/>
        <color theme="4"/>
        <rFont val="Cambria"/>
        <family val="2"/>
        <scheme val="minor"/>
      </rPr>
      <t xml:space="preserve">=432,88 kr per vecka </t>
    </r>
    <r>
      <rPr>
        <sz val="11"/>
        <color theme="5"/>
        <rFont val="Cambria"/>
        <family val="2"/>
        <scheme val="minor"/>
      </rPr>
      <t>ta detta genom 4,33</t>
    </r>
  </si>
  <si>
    <t>"Se skillnaden i ersättning"</t>
  </si>
  <si>
    <t>Totalt</t>
  </si>
  <si>
    <t>Ålder</t>
  </si>
  <si>
    <t>Helgpass</t>
  </si>
  <si>
    <t>Varannan helg</t>
  </si>
  <si>
    <t>2 helger av 5</t>
  </si>
  <si>
    <t>Ej helg</t>
  </si>
  <si>
    <t>1 kväll /v</t>
  </si>
  <si>
    <t>2 kväll /v</t>
  </si>
  <si>
    <t>3 kväll /v</t>
  </si>
  <si>
    <t>0 kväll /v</t>
  </si>
  <si>
    <t>Kväll</t>
  </si>
  <si>
    <t>Natt</t>
  </si>
  <si>
    <t>0,5 natt /v</t>
  </si>
  <si>
    <t>1 natt /v</t>
  </si>
  <si>
    <t>1,5 natt /v</t>
  </si>
  <si>
    <t>2 natt /v</t>
  </si>
  <si>
    <t>Ständig natt</t>
  </si>
  <si>
    <t>25&gt; år</t>
  </si>
  <si>
    <t>40&gt; år</t>
  </si>
  <si>
    <t>50&gt; år</t>
  </si>
  <si>
    <t>Förutsättningar</t>
  </si>
  <si>
    <t>Lön</t>
  </si>
  <si>
    <t>Helgtjänstgöring</t>
  </si>
  <si>
    <t>Kvällspass</t>
  </si>
  <si>
    <t>Nattpass</t>
  </si>
  <si>
    <t>Sysselsättningsgrad</t>
  </si>
  <si>
    <t>Natt OB</t>
  </si>
  <si>
    <t>Per månad</t>
  </si>
  <si>
    <t>Kväll OB</t>
  </si>
  <si>
    <t>OB per natt</t>
  </si>
  <si>
    <t>Förutsätter att ett natt pass på 10 timmar som är kl.21-07. Där 8 timmar är med natt ob mellan kl.22-06 och 1 timme med kvälls ob mellan kl.21-22.</t>
  </si>
  <si>
    <t>+</t>
  </si>
  <si>
    <t>Helg OB</t>
  </si>
  <si>
    <t>Kväll ob</t>
  </si>
  <si>
    <t>fake</t>
  </si>
  <si>
    <t>Sammanställd OB</t>
  </si>
  <si>
    <t/>
  </si>
  <si>
    <t>Per mån</t>
  </si>
  <si>
    <t>Per år</t>
  </si>
  <si>
    <t>Semester dagar</t>
  </si>
  <si>
    <t>Semester avsättning</t>
  </si>
  <si>
    <t>Månadslön, brutto -före skatt</t>
  </si>
  <si>
    <t>Vad som ingår i en heltidslön</t>
  </si>
  <si>
    <t>Förmåner /per månad</t>
  </si>
  <si>
    <t>OB ersättning</t>
  </si>
  <si>
    <t xml:space="preserve">Avsättning för semester </t>
  </si>
  <si>
    <t>Avsättning för tjänstepension</t>
  </si>
  <si>
    <t>Friskvårdsförmån</t>
  </si>
  <si>
    <t>Timmar i veckan</t>
  </si>
  <si>
    <t>Din tid</t>
  </si>
  <si>
    <t>Ej natt</t>
  </si>
  <si>
    <t>Plus 40% OB</t>
  </si>
  <si>
    <t>Förstärkt ersättning +40% av OB ersättning</t>
  </si>
  <si>
    <t>Ständig natt?</t>
  </si>
  <si>
    <t>Helg jobb?</t>
  </si>
  <si>
    <t>Kvot?</t>
  </si>
  <si>
    <t>Skillnad nattOB och nattOB helg</t>
  </si>
  <si>
    <t>&lt;- timmar</t>
  </si>
  <si>
    <t>&lt;- timmar x skillnad</t>
  </si>
  <si>
    <t>minus</t>
  </si>
  <si>
    <t>Tid</t>
  </si>
  <si>
    <t>Nationellt nätverks inbjudan</t>
  </si>
  <si>
    <t>Veckoarbetstidsmått</t>
  </si>
  <si>
    <t>Grund</t>
  </si>
  <si>
    <t>Förkortning h</t>
  </si>
  <si>
    <t>Reducerat</t>
  </si>
  <si>
    <t>%</t>
  </si>
  <si>
    <t>Skillnad</t>
  </si>
  <si>
    <t>V/arb mått:</t>
  </si>
  <si>
    <t>Skillnad mot 40h:</t>
  </si>
  <si>
    <t>timmar</t>
  </si>
  <si>
    <t>hh:mm</t>
  </si>
  <si>
    <t>formel fix</t>
  </si>
  <si>
    <t>Skillnad mot 40 h/v per månad</t>
  </si>
  <si>
    <t>Arbetstidförkortning för återhämntning (100%)</t>
  </si>
  <si>
    <t>⚠️ Roationsmodell mot natt information ⚠️
- - - - - - - - - - - - - - - - - - - - - - - - - - - - 
När du jobbar deltid med rotionsmodellen, räknas antalet 'rotationsnätter' ut enligt en specifik formel. Formeln minskar tiden för varje 'rotationsnatt' med 4 timmar. Här är hur beräkningen fungerar:
Du tar antalet veckor du arbetar, multiplicerar detta med 2 (eftersom det är två rotationsnätter per vecka), och sedan multiplicerar du det hela med din anställningsprocent.
Till exempel, om du arbetar i 10 veckor med en anställningsprocent på 75%, blir beräkningen:
10 veckor X 2 rotationsnätter X 75% = 15 rotationsnätter.
Viktigt att notera, om du går över 15 rotationsnätter, till exempel i detta scenario, kommer du att övergå till 'ständig natt'-avtalet.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</si>
</sst>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&quot;_-;\-* #,##0.00\ &quot;kr&quot;_-;_-* &quot;-&quot;??\ &quot;kr&quot;_-;_-@_-"/>
    <numFmt numFmtId="164" formatCode="#,##0\ &quot;kr&quot;"/>
  </numFmts>
  <fonts count="30" x14ac:knownFonts="1">
    <font>
      <sz val="11"/>
      <color theme="1"/>
      <name val="Cambria"/>
      <family val="2"/>
      <scheme val="minor"/>
    </font>
    <font>
      <sz val="11"/>
      <color theme="1"/>
      <name val="Cambria"/>
      <family val="2"/>
      <scheme val="minor"/>
    </font>
    <font>
      <b/>
      <sz val="12"/>
      <color theme="4"/>
      <name val="Cambria"/>
      <family val="2"/>
      <scheme val="minor"/>
    </font>
    <font>
      <sz val="11"/>
      <color rgb="FFFF0000"/>
      <name val="Cambria"/>
      <family val="2"/>
      <scheme val="minor"/>
    </font>
    <font>
      <b/>
      <sz val="12"/>
      <color theme="1"/>
      <name val="Cambria"/>
      <family val="2"/>
      <scheme val="minor"/>
    </font>
    <font>
      <sz val="11"/>
      <color theme="4"/>
      <name val="Cambria"/>
      <family val="2"/>
      <scheme val="minor"/>
    </font>
    <font>
      <sz val="11"/>
      <color theme="5"/>
      <name val="Cambria"/>
      <family val="2"/>
      <scheme val="minor"/>
    </font>
    <font>
      <sz val="11"/>
      <color theme="0"/>
      <name val="Segoe UI Semibold"/>
      <family val="2"/>
    </font>
    <font>
      <sz val="11"/>
      <color theme="1"/>
      <name val="Segoe UI"/>
      <family val="2"/>
    </font>
    <font>
      <sz val="9"/>
      <color theme="1"/>
      <name val="Cambria"/>
      <family val="2"/>
      <scheme val="minor"/>
    </font>
    <font>
      <b/>
      <sz val="11"/>
      <color rgb="FF3F3F3F"/>
      <name val="Cambria"/>
      <family val="2"/>
      <scheme val="minor"/>
    </font>
    <font>
      <b/>
      <sz val="11"/>
      <color rgb="FFFA7D00"/>
      <name val="Cambria"/>
      <family val="2"/>
      <scheme val="minor"/>
    </font>
    <font>
      <b/>
      <sz val="16"/>
      <color rgb="FF339D94"/>
      <name val="Calibri"/>
      <family val="2"/>
      <scheme val="major"/>
    </font>
    <font>
      <sz val="11"/>
      <color theme="1"/>
      <name val="Calibri"/>
      <family val="2"/>
      <scheme val="major"/>
    </font>
    <font>
      <sz val="16"/>
      <color theme="4"/>
      <name val="Calibri"/>
      <family val="2"/>
      <scheme val="major"/>
    </font>
    <font>
      <b/>
      <sz val="24"/>
      <color theme="1"/>
      <name val="Calibri"/>
      <family val="2"/>
      <scheme val="major"/>
    </font>
    <font>
      <b/>
      <sz val="20"/>
      <color theme="1"/>
      <name val="Calibri"/>
      <family val="2"/>
      <scheme val="major"/>
    </font>
    <font>
      <b/>
      <sz val="16"/>
      <color theme="1"/>
      <name val="Calibri"/>
      <family val="2"/>
      <scheme val="major"/>
    </font>
    <font>
      <sz val="32"/>
      <color theme="1" tint="0.249977111117893"/>
      <name val="Calibri Light"/>
      <family val="2"/>
    </font>
    <font>
      <i/>
      <sz val="20"/>
      <color theme="1" tint="0.249977111117893"/>
      <name val="Calibri"/>
      <family val="2"/>
      <scheme val="major"/>
    </font>
    <font>
      <sz val="10"/>
      <color theme="1"/>
      <name val="Cambria"/>
      <family val="2"/>
      <scheme val="minor"/>
    </font>
    <font>
      <b/>
      <sz val="11"/>
      <color theme="1"/>
      <name val="Calibri"/>
      <family val="2"/>
      <scheme val="major"/>
    </font>
    <font>
      <i/>
      <sz val="11"/>
      <color theme="1"/>
      <name val="Cambria"/>
      <family val="1"/>
      <scheme val="minor"/>
    </font>
    <font>
      <b/>
      <sz val="11"/>
      <color theme="1"/>
      <name val="Cambria"/>
      <family val="1"/>
      <scheme val="minor"/>
    </font>
    <font>
      <sz val="9"/>
      <color rgb="FFFFFFFF"/>
      <name val="Calibri"/>
      <family val="2"/>
    </font>
    <font>
      <sz val="8"/>
      <color theme="1"/>
      <name val="Cambria"/>
      <family val="2"/>
      <scheme val="minor"/>
    </font>
    <font>
      <b/>
      <sz val="16"/>
      <color theme="7"/>
      <name val="Calibri"/>
      <family val="2"/>
      <scheme val="major"/>
    </font>
    <font>
      <sz val="12"/>
      <color theme="1"/>
      <name val="Calibri"/>
      <family val="2"/>
      <scheme val="major"/>
    </font>
    <font>
      <b/>
      <sz val="11"/>
      <color theme="9" tint="-0.249977111117893"/>
      <name val="Calibri"/>
      <family val="2"/>
      <scheme val="major"/>
    </font>
    <font>
      <b/>
      <sz val="11"/>
      <color theme="7"/>
      <name val="Segoe UI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rgb="FF339D94"/>
        <bgColor indexed="64"/>
      </patternFill>
    </fill>
    <fill>
      <patternFill patternType="solid">
        <fgColor rgb="FFDCEEEB"/>
        <bgColor indexed="64"/>
      </patternFill>
    </fill>
    <fill>
      <patternFill patternType="solid">
        <fgColor rgb="FFE9F6F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339D94"/>
      </left>
      <right style="thin">
        <color rgb="FF339D94"/>
      </right>
      <top style="thick">
        <color rgb="FF339D94"/>
      </top>
      <bottom style="thin">
        <color rgb="FF339D94"/>
      </bottom>
      <diagonal/>
    </border>
    <border>
      <left style="thick">
        <color rgb="FF339D94"/>
      </left>
      <right style="thin">
        <color rgb="FF339D94"/>
      </right>
      <top style="thin">
        <color rgb="FF339D94"/>
      </top>
      <bottom style="thin">
        <color rgb="FF339D94"/>
      </bottom>
      <diagonal/>
    </border>
    <border>
      <left style="thick">
        <color rgb="FF339D94"/>
      </left>
      <right/>
      <top style="thick">
        <color rgb="FF339D94"/>
      </top>
      <bottom style="thin">
        <color rgb="FF339D94"/>
      </bottom>
      <diagonal/>
    </border>
    <border>
      <left/>
      <right/>
      <top style="thick">
        <color rgb="FF339D94"/>
      </top>
      <bottom style="thin">
        <color rgb="FF339D94"/>
      </bottom>
      <diagonal/>
    </border>
    <border>
      <left/>
      <right style="thin">
        <color rgb="FF339D94"/>
      </right>
      <top style="thick">
        <color rgb="FF339D94"/>
      </top>
      <bottom style="thin">
        <color rgb="FF339D94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auto="1"/>
      </bottom>
      <diagonal/>
    </border>
    <border>
      <left/>
      <right/>
      <top style="thin">
        <color rgb="FFB2B2B2"/>
      </top>
      <bottom style="thin">
        <color auto="1"/>
      </bottom>
      <diagonal/>
    </border>
    <border>
      <left/>
      <right style="thin">
        <color rgb="FFB2B2B2"/>
      </right>
      <top style="thin">
        <color rgb="FFB2B2B2"/>
      </top>
      <bottom style="thin">
        <color auto="1"/>
      </bottom>
      <diagonal/>
    </border>
    <border>
      <left style="thick">
        <color theme="7"/>
      </left>
      <right style="thin">
        <color theme="7"/>
      </right>
      <top style="thick">
        <color theme="7"/>
      </top>
      <bottom style="thin">
        <color theme="7"/>
      </bottom>
      <diagonal/>
    </border>
    <border>
      <left style="thick">
        <color theme="7"/>
      </left>
      <right/>
      <top style="thick">
        <color theme="7"/>
      </top>
      <bottom style="thin">
        <color theme="7"/>
      </bottom>
      <diagonal/>
    </border>
    <border>
      <left/>
      <right/>
      <top style="thick">
        <color theme="7"/>
      </top>
      <bottom style="thin">
        <color theme="7"/>
      </bottom>
      <diagonal/>
    </border>
    <border>
      <left/>
      <right style="thin">
        <color theme="7"/>
      </right>
      <top style="thick">
        <color theme="7"/>
      </top>
      <bottom style="thin">
        <color theme="7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3" borderId="2" applyNumberFormat="0" applyFont="0" applyAlignment="0" applyProtection="0"/>
    <xf numFmtId="0" fontId="11" fillId="5" borderId="3" applyNumberFormat="0" applyAlignment="0" applyProtection="0"/>
  </cellStyleXfs>
  <cellXfs count="87">
    <xf numFmtId="0" fontId="0" fillId="0" borderId="0" xfId="0"/>
    <xf numFmtId="0" fontId="4" fillId="0" borderId="0" xfId="0" applyFont="1"/>
    <xf numFmtId="0" fontId="0" fillId="0" borderId="1" xfId="0" applyBorder="1"/>
    <xf numFmtId="44" fontId="0" fillId="0" borderId="1" xfId="2" applyFont="1" applyBorder="1"/>
    <xf numFmtId="0" fontId="9" fillId="0" borderId="0" xfId="0" applyFont="1" applyAlignment="1">
      <alignment horizontal="center" vertical="top" wrapText="1"/>
    </xf>
    <xf numFmtId="44" fontId="0" fillId="0" borderId="1" xfId="0" applyNumberFormat="1" applyBorder="1"/>
    <xf numFmtId="0" fontId="0" fillId="0" borderId="0" xfId="0" quotePrefix="1" applyAlignment="1">
      <alignment horizontal="center"/>
    </xf>
    <xf numFmtId="44" fontId="0" fillId="4" borderId="1" xfId="2" applyFont="1" applyFill="1" applyBorder="1"/>
    <xf numFmtId="0" fontId="0" fillId="0" borderId="0" xfId="0" applyAlignment="1">
      <alignment horizontal="right"/>
    </xf>
    <xf numFmtId="0" fontId="0" fillId="3" borderId="2" xfId="3" applyFont="1"/>
    <xf numFmtId="44" fontId="11" fillId="5" borderId="4" xfId="4" applyNumberFormat="1" applyBorder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3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Alignment="1" applyProtection="1">
      <alignment horizontal="center" vertical="center"/>
      <protection locked="0"/>
    </xf>
    <xf numFmtId="44" fontId="13" fillId="8" borderId="11" xfId="2" applyFont="1" applyFill="1" applyBorder="1" applyAlignment="1" applyProtection="1">
      <alignment horizontal="center" vertical="center"/>
      <protection locked="0"/>
    </xf>
    <xf numFmtId="9" fontId="13" fillId="8" borderId="11" xfId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hidden="1"/>
    </xf>
    <xf numFmtId="0" fontId="0" fillId="6" borderId="0" xfId="0" applyFill="1" applyProtection="1">
      <protection hidden="1"/>
    </xf>
    <xf numFmtId="0" fontId="14" fillId="2" borderId="0" xfId="0" applyFont="1" applyFill="1" applyAlignment="1" applyProtection="1">
      <alignment horizontal="left" indent="2"/>
      <protection hidden="1"/>
    </xf>
    <xf numFmtId="0" fontId="13" fillId="2" borderId="0" xfId="0" applyFont="1" applyFill="1" applyAlignment="1" applyProtection="1">
      <alignment horizontal="right" indent="1"/>
      <protection hidden="1"/>
    </xf>
    <xf numFmtId="0" fontId="13" fillId="2" borderId="0" xfId="0" applyFont="1" applyFill="1" applyProtection="1">
      <protection hidden="1"/>
    </xf>
    <xf numFmtId="0" fontId="13" fillId="0" borderId="0" xfId="0" applyFont="1" applyProtection="1">
      <protection hidden="1"/>
    </xf>
    <xf numFmtId="0" fontId="0" fillId="0" borderId="0" xfId="0" applyProtection="1">
      <protection hidden="1"/>
    </xf>
    <xf numFmtId="0" fontId="3" fillId="6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7" fillId="6" borderId="0" xfId="0" applyFont="1" applyFill="1" applyAlignment="1" applyProtection="1">
      <alignment vertical="center"/>
      <protection hidden="1"/>
    </xf>
    <xf numFmtId="0" fontId="12" fillId="2" borderId="0" xfId="0" applyFont="1" applyFill="1" applyAlignment="1" applyProtection="1">
      <alignment horizontal="left" indent="2"/>
      <protection hidden="1"/>
    </xf>
    <xf numFmtId="0" fontId="14" fillId="2" borderId="0" xfId="0" applyFont="1" applyFill="1" applyAlignment="1" applyProtection="1">
      <alignment horizontal="left"/>
      <protection hidden="1"/>
    </xf>
    <xf numFmtId="0" fontId="13" fillId="2" borderId="0" xfId="0" applyFont="1" applyFill="1" applyAlignment="1" applyProtection="1">
      <alignment horizontal="right" vertical="center" indent="1"/>
      <protection hidden="1"/>
    </xf>
    <xf numFmtId="164" fontId="13" fillId="2" borderId="10" xfId="0" applyNumberFormat="1" applyFont="1" applyFill="1" applyBorder="1" applyProtection="1">
      <protection hidden="1"/>
    </xf>
    <xf numFmtId="164" fontId="13" fillId="2" borderId="11" xfId="0" applyNumberFormat="1" applyFont="1" applyFill="1" applyBorder="1" applyProtection="1">
      <protection hidden="1"/>
    </xf>
    <xf numFmtId="164" fontId="13" fillId="0" borderId="0" xfId="0" applyNumberFormat="1" applyFont="1" applyProtection="1">
      <protection hidden="1"/>
    </xf>
    <xf numFmtId="164" fontId="13" fillId="2" borderId="0" xfId="0" applyNumberFormat="1" applyFont="1" applyFill="1" applyProtection="1">
      <protection hidden="1"/>
    </xf>
    <xf numFmtId="164" fontId="16" fillId="2" borderId="0" xfId="0" applyNumberFormat="1" applyFont="1" applyFill="1" applyProtection="1">
      <protection hidden="1"/>
    </xf>
    <xf numFmtId="164" fontId="17" fillId="2" borderId="10" xfId="0" applyNumberFormat="1" applyFont="1" applyFill="1" applyBorder="1" applyProtection="1">
      <protection hidden="1"/>
    </xf>
    <xf numFmtId="0" fontId="8" fillId="0" borderId="0" xfId="0" quotePrefix="1" applyFont="1" applyProtection="1">
      <protection hidden="1"/>
    </xf>
    <xf numFmtId="0" fontId="8" fillId="0" borderId="0" xfId="0" applyFont="1" applyProtection="1">
      <protection hidden="1"/>
    </xf>
    <xf numFmtId="0" fontId="3" fillId="7" borderId="0" xfId="0" applyFont="1" applyFill="1" applyProtection="1">
      <protection hidden="1"/>
    </xf>
    <xf numFmtId="0" fontId="0" fillId="8" borderId="0" xfId="0" applyFill="1" applyProtection="1">
      <protection hidden="1"/>
    </xf>
    <xf numFmtId="0" fontId="18" fillId="8" borderId="0" xfId="0" applyFont="1" applyFill="1" applyProtection="1">
      <protection hidden="1"/>
    </xf>
    <xf numFmtId="0" fontId="19" fillId="8" borderId="0" xfId="0" applyFont="1" applyFill="1" applyAlignment="1" applyProtection="1">
      <alignment vertical="top"/>
      <protection hidden="1"/>
    </xf>
    <xf numFmtId="44" fontId="0" fillId="0" borderId="0" xfId="0" applyNumberFormat="1"/>
    <xf numFmtId="164" fontId="15" fillId="2" borderId="12" xfId="0" applyNumberFormat="1" applyFont="1" applyFill="1" applyBorder="1" applyAlignment="1" applyProtection="1">
      <alignment horizontal="center"/>
      <protection hidden="1"/>
    </xf>
    <xf numFmtId="164" fontId="15" fillId="2" borderId="13" xfId="0" applyNumberFormat="1" applyFont="1" applyFill="1" applyBorder="1" applyAlignment="1" applyProtection="1">
      <alignment horizontal="center"/>
      <protection hidden="1"/>
    </xf>
    <xf numFmtId="164" fontId="15" fillId="2" borderId="14" xfId="0" applyNumberFormat="1" applyFont="1" applyFill="1" applyBorder="1" applyAlignment="1" applyProtection="1">
      <alignment horizontal="center"/>
      <protection hidden="1"/>
    </xf>
    <xf numFmtId="0" fontId="9" fillId="3" borderId="2" xfId="3" applyFont="1" applyAlignment="1">
      <alignment horizontal="center" vertical="top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15" xfId="3" applyFont="1" applyBorder="1"/>
    <xf numFmtId="44" fontId="10" fillId="5" borderId="16" xfId="2" applyFont="1" applyFill="1" applyBorder="1" applyAlignment="1">
      <alignment horizontal="center"/>
    </xf>
    <xf numFmtId="44" fontId="10" fillId="5" borderId="17" xfId="2" applyFont="1" applyFill="1" applyBorder="1" applyAlignment="1">
      <alignment horizontal="center"/>
    </xf>
    <xf numFmtId="44" fontId="10" fillId="5" borderId="18" xfId="2" applyFont="1" applyFill="1" applyBorder="1" applyAlignment="1">
      <alignment horizontal="center"/>
    </xf>
    <xf numFmtId="44" fontId="10" fillId="5" borderId="19" xfId="2" applyFont="1" applyFill="1" applyBorder="1" applyAlignment="1">
      <alignment horizontal="center"/>
    </xf>
    <xf numFmtId="44" fontId="10" fillId="5" borderId="1" xfId="2" applyFont="1" applyFill="1" applyBorder="1" applyAlignment="1">
      <alignment horizontal="center"/>
    </xf>
    <xf numFmtId="0" fontId="20" fillId="3" borderId="20" xfId="3" applyFont="1" applyBorder="1"/>
    <xf numFmtId="0" fontId="21" fillId="2" borderId="0" xfId="0" applyFont="1" applyFill="1" applyAlignment="1" applyProtection="1">
      <alignment horizontal="right" vertical="center" indent="1"/>
      <protection hidden="1"/>
    </xf>
    <xf numFmtId="164" fontId="21" fillId="2" borderId="11" xfId="0" applyNumberFormat="1" applyFont="1" applyFill="1" applyBorder="1" applyProtection="1">
      <protection hidden="1"/>
    </xf>
    <xf numFmtId="0" fontId="0" fillId="3" borderId="2" xfId="3" applyFont="1" applyBorder="1"/>
    <xf numFmtId="2" fontId="0" fillId="0" borderId="1" xfId="2" applyNumberFormat="1" applyFont="1" applyBorder="1"/>
    <xf numFmtId="0" fontId="22" fillId="0" borderId="0" xfId="0" applyFont="1"/>
    <xf numFmtId="0" fontId="0" fillId="3" borderId="21" xfId="3" applyFont="1" applyBorder="1" applyAlignment="1">
      <alignment horizontal="center"/>
    </xf>
    <xf numFmtId="0" fontId="0" fillId="3" borderId="22" xfId="3" applyFont="1" applyBorder="1" applyAlignment="1">
      <alignment horizontal="center"/>
    </xf>
    <xf numFmtId="0" fontId="0" fillId="3" borderId="23" xfId="3" applyFont="1" applyBorder="1" applyAlignment="1">
      <alignment horizontal="center"/>
    </xf>
    <xf numFmtId="0" fontId="23" fillId="0" borderId="0" xfId="0" applyFont="1"/>
    <xf numFmtId="0" fontId="24" fillId="0" borderId="0" xfId="0" applyFont="1"/>
    <xf numFmtId="9" fontId="0" fillId="0" borderId="1" xfId="1" applyFont="1" applyBorder="1"/>
    <xf numFmtId="0" fontId="25" fillId="2" borderId="1" xfId="0" applyFont="1" applyFill="1" applyBorder="1" applyAlignment="1">
      <alignment horizontal="center"/>
    </xf>
    <xf numFmtId="0" fontId="0" fillId="0" borderId="0" xfId="0" applyAlignment="1">
      <alignment horizontal="right" indent="1"/>
    </xf>
    <xf numFmtId="0" fontId="0" fillId="9" borderId="1" xfId="0" applyFill="1" applyBorder="1"/>
    <xf numFmtId="0" fontId="8" fillId="2" borderId="0" xfId="0" applyFont="1" applyFill="1" applyProtection="1">
      <protection hidden="1"/>
    </xf>
    <xf numFmtId="0" fontId="8" fillId="2" borderId="0" xfId="0" quotePrefix="1" applyFont="1" applyFill="1" applyProtection="1">
      <protection hidden="1"/>
    </xf>
    <xf numFmtId="0" fontId="7" fillId="10" borderId="0" xfId="0" applyFont="1" applyFill="1" applyAlignment="1" applyProtection="1">
      <alignment vertical="center"/>
      <protection hidden="1"/>
    </xf>
    <xf numFmtId="0" fontId="15" fillId="2" borderId="25" xfId="0" applyNumberFormat="1" applyFont="1" applyFill="1" applyBorder="1" applyAlignment="1" applyProtection="1">
      <alignment horizontal="center"/>
      <protection hidden="1"/>
    </xf>
    <xf numFmtId="0" fontId="15" fillId="2" borderId="26" xfId="0" applyNumberFormat="1" applyFont="1" applyFill="1" applyBorder="1" applyAlignment="1" applyProtection="1">
      <alignment horizontal="center"/>
      <protection hidden="1"/>
    </xf>
    <xf numFmtId="0" fontId="15" fillId="2" borderId="27" xfId="0" applyNumberFormat="1" applyFont="1" applyFill="1" applyBorder="1" applyAlignment="1" applyProtection="1">
      <alignment horizontal="center"/>
      <protection hidden="1"/>
    </xf>
    <xf numFmtId="0" fontId="17" fillId="2" borderId="24" xfId="0" applyNumberFormat="1" applyFont="1" applyFill="1" applyBorder="1" applyAlignment="1" applyProtection="1">
      <alignment horizontal="center"/>
      <protection hidden="1"/>
    </xf>
    <xf numFmtId="0" fontId="27" fillId="2" borderId="0" xfId="0" applyFont="1" applyFill="1" applyAlignment="1" applyProtection="1">
      <alignment horizontal="right" vertical="center" indent="1"/>
      <protection hidden="1"/>
    </xf>
    <xf numFmtId="0" fontId="27" fillId="2" borderId="0" xfId="0" applyFont="1" applyFill="1" applyAlignment="1" applyProtection="1">
      <alignment horizontal="right" vertical="center" wrapText="1" indent="1"/>
      <protection hidden="1"/>
    </xf>
    <xf numFmtId="0" fontId="28" fillId="0" borderId="0" xfId="0" applyFont="1" applyProtection="1">
      <protection hidden="1"/>
    </xf>
    <xf numFmtId="0" fontId="8" fillId="0" borderId="0" xfId="0" quotePrefix="1" applyFont="1" applyAlignment="1" applyProtection="1">
      <alignment vertical="top" wrapText="1"/>
      <protection hidden="1"/>
    </xf>
    <xf numFmtId="0" fontId="0" fillId="0" borderId="0" xfId="0" applyAlignment="1">
      <alignment wrapText="1"/>
    </xf>
    <xf numFmtId="0" fontId="29" fillId="0" borderId="0" xfId="0" quotePrefix="1" applyFont="1" applyAlignment="1" applyProtection="1">
      <alignment horizontal="left" vertical="top" wrapText="1"/>
      <protection hidden="1"/>
    </xf>
    <xf numFmtId="9" fontId="26" fillId="2" borderId="0" xfId="0" quotePrefix="1" applyNumberFormat="1" applyFont="1" applyFill="1" applyAlignment="1" applyProtection="1">
      <alignment horizontal="left" indent="2"/>
      <protection hidden="1"/>
    </xf>
    <xf numFmtId="0" fontId="26" fillId="2" borderId="0" xfId="0" applyFont="1" applyFill="1" applyAlignment="1" applyProtection="1">
      <alignment horizontal="left" vertical="center" indent="2"/>
      <protection hidden="1"/>
    </xf>
  </cellXfs>
  <cellStyles count="5">
    <cellStyle name="Anteckning" xfId="3" builtinId="10"/>
    <cellStyle name="Beräkning" xfId="4" builtinId="22"/>
    <cellStyle name="Normal" xfId="0" builtinId="0"/>
    <cellStyle name="Procent" xfId="1" builtinId="5"/>
    <cellStyle name="Valuta" xfId="2" builtinId="4"/>
  </cellStyles>
  <dxfs count="0"/>
  <tableStyles count="0" defaultTableStyle="TableStyleMedium2" defaultPivotStyle="PivotStyleLight16"/>
  <colors>
    <mruColors>
      <color rgb="FF339D94"/>
      <color rgb="FFE9F6F7"/>
      <color rgb="FFDCEE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11689312533751"/>
          <c:y val="0.14717494218459307"/>
          <c:w val="0.71330544120368644"/>
          <c:h val="0.7069910421775147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0F6-4E7E-90F1-4549146AC46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0F6-4E7E-90F1-4549146AC46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0F6-4E7E-90F1-4549146AC46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0F6-4E7E-90F1-4549146AC46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0F6-4E7E-90F1-4549146AC46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1.7821378703435205E-2"/>
                  <c:y val="-0.60304510213151952"/>
                </c:manualLayout>
              </c:layout>
              <c:spPr>
                <a:xfrm>
                  <a:off x="5265268" y="1051782"/>
                  <a:ext cx="2156896" cy="343940"/>
                </a:xfrm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defRPr>
                  </a:pPr>
                  <a:endParaRPr lang="sv-S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40274"/>
                        <a:gd name="adj2" fmla="val 156518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8738140282196295"/>
                      <c:h val="4.542035419266027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10F6-4E7E-90F1-4549146AC46C}"/>
                </c:ext>
              </c:extLst>
            </c:dLbl>
            <c:dLbl>
              <c:idx val="1"/>
              <c:layout>
                <c:manualLayout>
                  <c:x val="6.4043530757755965E-3"/>
                  <c:y val="-7.138667465883749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77722204035179"/>
                      <c:h val="3.43025755720529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10F6-4E7E-90F1-4549146AC46C}"/>
                </c:ext>
              </c:extLst>
            </c:dLbl>
            <c:dLbl>
              <c:idx val="2"/>
              <c:layout>
                <c:manualLayout>
                  <c:x val="2.7074045783117444E-2"/>
                  <c:y val="-5.876274090575530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F6-4E7E-90F1-4549146AC46C}"/>
                </c:ext>
              </c:extLst>
            </c:dLbl>
            <c:dLbl>
              <c:idx val="3"/>
              <c:layout>
                <c:manualLayout>
                  <c:x val="-2.1140665601270231E-2"/>
                  <c:y val="-4.376039170281427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977438472831952"/>
                      <c:h val="4.374320556718261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10F6-4E7E-90F1-4549146AC46C}"/>
                </c:ext>
              </c:extLst>
            </c:dLbl>
            <c:dLbl>
              <c:idx val="4"/>
              <c:layout>
                <c:manualLayout>
                  <c:x val="-4.2254697753320559E-2"/>
                  <c:y val="-7.023264560555365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432331473724787"/>
                      <c:h val="3.87117596907496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10F6-4E7E-90F1-4549146AC46C}"/>
                </c:ext>
              </c:extLst>
            </c:dLbl>
            <c:dLbl>
              <c:idx val="5"/>
              <c:layout>
                <c:manualLayout>
                  <c:x val="0.14442790955723139"/>
                  <c:y val="-5.001085524543420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688596643750988"/>
                      <c:h val="3.3680313814316666E-2"/>
                    </c:manualLayout>
                  </c15:layout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Segoe UI" panose="020B0502040204020203" pitchFamily="34" charset="0"/>
                    <a:ea typeface="Segoe UI" panose="020B0502040204020203" pitchFamily="34" charset="0"/>
                    <a:cs typeface="Segoe UI" panose="020B0502040204020203" pitchFamily="34" charset="0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'Grund kalkyl'!$D$15:$D$20</c:f>
              <c:strCache>
                <c:ptCount val="6"/>
                <c:pt idx="0">
                  <c:v>Månadslön, brutto -före skatt</c:v>
                </c:pt>
                <c:pt idx="1">
                  <c:v>OB ersättning</c:v>
                </c:pt>
                <c:pt idx="2">
                  <c:v>Förstärkt ersättning +40% av OB ersättning</c:v>
                </c:pt>
                <c:pt idx="3">
                  <c:v>Avsättning för semester </c:v>
                </c:pt>
                <c:pt idx="4">
                  <c:v>Avsättning för tjänstepension</c:v>
                </c:pt>
                <c:pt idx="5">
                  <c:v>Friskvårdsförmån</c:v>
                </c:pt>
              </c:strCache>
            </c:strRef>
          </c:cat>
          <c:val>
            <c:numRef>
              <c:f>'Grund kalkyl'!$E$15:$E$20</c:f>
              <c:numCache>
                <c:formatCode>#\ ##0\ "kr"</c:formatCode>
                <c:ptCount val="6"/>
                <c:pt idx="0">
                  <c:v>41000</c:v>
                </c:pt>
                <c:pt idx="1">
                  <c:v>3958.5</c:v>
                </c:pt>
                <c:pt idx="2">
                  <c:v>1583.4</c:v>
                </c:pt>
                <c:pt idx="3">
                  <c:v>5135.3535353535362</c:v>
                </c:pt>
                <c:pt idx="4">
                  <c:v>2023.1324999999999</c:v>
                </c:pt>
                <c:pt idx="5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0F6-4E7E-90F1-4549146AC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egoe UI" panose="020B0502040204020203" pitchFamily="34" charset="0"/>
          <a:ea typeface="Segoe UI" panose="020B0502040204020203" pitchFamily="34" charset="0"/>
          <a:cs typeface="Segoe UI" panose="020B0502040204020203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2.svg"/><Relationship Id="rId3" Type="http://schemas.openxmlformats.org/officeDocument/2006/relationships/image" Target="../media/image2.svg"/><Relationship Id="rId7" Type="http://schemas.openxmlformats.org/officeDocument/2006/relationships/image" Target="../media/image6.svg"/><Relationship Id="rId12" Type="http://schemas.openxmlformats.org/officeDocument/2006/relationships/image" Target="../media/image11.png"/><Relationship Id="rId2" Type="http://schemas.openxmlformats.org/officeDocument/2006/relationships/image" Target="../media/image1.png"/><Relationship Id="rId16" Type="http://schemas.openxmlformats.org/officeDocument/2006/relationships/image" Target="../media/image15.svg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11" Type="http://schemas.openxmlformats.org/officeDocument/2006/relationships/image" Target="../media/image10.svg"/><Relationship Id="rId5" Type="http://schemas.openxmlformats.org/officeDocument/2006/relationships/image" Target="../media/image4.svg"/><Relationship Id="rId15" Type="http://schemas.openxmlformats.org/officeDocument/2006/relationships/image" Target="../media/image14.png"/><Relationship Id="rId10" Type="http://schemas.openxmlformats.org/officeDocument/2006/relationships/image" Target="../media/image9.png"/><Relationship Id="rId4" Type="http://schemas.openxmlformats.org/officeDocument/2006/relationships/image" Target="../media/image3.png"/><Relationship Id="rId9" Type="http://schemas.openxmlformats.org/officeDocument/2006/relationships/image" Target="../media/image8.svg"/><Relationship Id="rId14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22</xdr:row>
      <xdr:rowOff>47625</xdr:rowOff>
    </xdr:from>
    <xdr:to>
      <xdr:col>1</xdr:col>
      <xdr:colOff>419100</xdr:colOff>
      <xdr:row>23</xdr:row>
      <xdr:rowOff>114300</xdr:rowOff>
    </xdr:to>
    <xdr:sp macro="" textlink="">
      <xdr:nvSpPr>
        <xdr:cNvPr id="2" name="Ellips 1">
          <a:extLst>
            <a:ext uri="{FF2B5EF4-FFF2-40B4-BE49-F238E27FC236}">
              <a16:creationId xmlns:a16="http://schemas.microsoft.com/office/drawing/2014/main" id="{B630182B-0E06-4059-BB8E-CAE8BD6E5A75}"/>
            </a:ext>
          </a:extLst>
        </xdr:cNvPr>
        <xdr:cNvSpPr/>
      </xdr:nvSpPr>
      <xdr:spPr>
        <a:xfrm>
          <a:off x="504825" y="6143625"/>
          <a:ext cx="342900" cy="3429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11</xdr:col>
      <xdr:colOff>357</xdr:colOff>
      <xdr:row>5</xdr:row>
      <xdr:rowOff>57149</xdr:rowOff>
    </xdr:from>
    <xdr:to>
      <xdr:col>21</xdr:col>
      <xdr:colOff>647700</xdr:colOff>
      <xdr:row>34</xdr:row>
      <xdr:rowOff>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8C41176E-B3EC-4E92-8134-5D560BAC00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100632</xdr:colOff>
      <xdr:row>3</xdr:row>
      <xdr:rowOff>129624</xdr:rowOff>
    </xdr:from>
    <xdr:to>
      <xdr:col>10</xdr:col>
      <xdr:colOff>99797</xdr:colOff>
      <xdr:row>5</xdr:row>
      <xdr:rowOff>14321</xdr:rowOff>
    </xdr:to>
    <xdr:grpSp>
      <xdr:nvGrpSpPr>
        <xdr:cNvPr id="23" name="Grupp 22">
          <a:extLst>
            <a:ext uri="{FF2B5EF4-FFF2-40B4-BE49-F238E27FC236}">
              <a16:creationId xmlns:a16="http://schemas.microsoft.com/office/drawing/2014/main" id="{7D3C2D68-89BA-45E2-9AFF-E1D13005D357}"/>
            </a:ext>
          </a:extLst>
        </xdr:cNvPr>
        <xdr:cNvGrpSpPr/>
      </xdr:nvGrpSpPr>
      <xdr:grpSpPr>
        <a:xfrm>
          <a:off x="5165001" y="1559839"/>
          <a:ext cx="2132765" cy="646697"/>
          <a:chOff x="4621696" y="1631674"/>
          <a:chExt cx="2136492" cy="646697"/>
        </a:xfrm>
      </xdr:grpSpPr>
      <xdr:pic>
        <xdr:nvPicPr>
          <xdr:cNvPr id="18" name="Bild 17" descr="Linjepil: motsols böj">
            <a:extLst>
              <a:ext uri="{FF2B5EF4-FFF2-40B4-BE49-F238E27FC236}">
                <a16:creationId xmlns:a16="http://schemas.microsoft.com/office/drawing/2014/main" id="{6D330BCA-3A0F-4D82-AB9B-B3DCDDA3D54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 rot="15868902">
            <a:off x="4638724" y="1614646"/>
            <a:ext cx="646697" cy="680754"/>
          </a:xfrm>
          <a:prstGeom prst="rect">
            <a:avLst/>
          </a:prstGeom>
        </xdr:spPr>
      </xdr:pic>
      <xdr:sp macro="" textlink="">
        <xdr:nvSpPr>
          <xdr:cNvPr id="19" name="textruta 18">
            <a:extLst>
              <a:ext uri="{FF2B5EF4-FFF2-40B4-BE49-F238E27FC236}">
                <a16:creationId xmlns:a16="http://schemas.microsoft.com/office/drawing/2014/main" id="{C0110C32-8DA0-4109-8379-94C7029E227C}"/>
              </a:ext>
            </a:extLst>
          </xdr:cNvPr>
          <xdr:cNvSpPr txBox="1"/>
        </xdr:nvSpPr>
        <xdr:spPr>
          <a:xfrm rot="807767">
            <a:off x="5192164" y="1829057"/>
            <a:ext cx="1566024" cy="4058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sv-SE" sz="1800" b="0">
                <a:solidFill>
                  <a:srgbClr val="339D94"/>
                </a:solidFill>
                <a:latin typeface="Forte" panose="03060902040502070203" pitchFamily="66" charset="0"/>
              </a:rPr>
              <a:t>Fyll i dessa!</a:t>
            </a:r>
          </a:p>
        </xdr:txBody>
      </xdr:sp>
    </xdr:grpSp>
    <xdr:clientData/>
  </xdr:twoCellAnchor>
  <xdr:twoCellAnchor editAs="oneCell">
    <xdr:from>
      <xdr:col>1</xdr:col>
      <xdr:colOff>85311</xdr:colOff>
      <xdr:row>4</xdr:row>
      <xdr:rowOff>98563</xdr:rowOff>
    </xdr:from>
    <xdr:to>
      <xdr:col>1</xdr:col>
      <xdr:colOff>429487</xdr:colOff>
      <xdr:row>5</xdr:row>
      <xdr:rowOff>57150</xdr:rowOff>
    </xdr:to>
    <xdr:pic>
      <xdr:nvPicPr>
        <xdr:cNvPr id="20" name="Bild 19">
          <a:extLst>
            <a:ext uri="{FF2B5EF4-FFF2-40B4-BE49-F238E27FC236}">
              <a16:creationId xmlns:a16="http://schemas.microsoft.com/office/drawing/2014/main" id="{C8C5698B-B49C-40D0-82C6-7129E6E31E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513936" y="1908313"/>
          <a:ext cx="344176" cy="339587"/>
        </a:xfrm>
        <a:prstGeom prst="rect">
          <a:avLst/>
        </a:prstGeom>
      </xdr:spPr>
    </xdr:pic>
    <xdr:clientData/>
  </xdr:twoCellAnchor>
  <xdr:twoCellAnchor editAs="oneCell">
    <xdr:from>
      <xdr:col>1</xdr:col>
      <xdr:colOff>85312</xdr:colOff>
      <xdr:row>13</xdr:row>
      <xdr:rowOff>69988</xdr:rowOff>
    </xdr:from>
    <xdr:to>
      <xdr:col>1</xdr:col>
      <xdr:colOff>421248</xdr:colOff>
      <xdr:row>14</xdr:row>
      <xdr:rowOff>133350</xdr:rowOff>
    </xdr:to>
    <xdr:pic>
      <xdr:nvPicPr>
        <xdr:cNvPr id="22" name="Bild 21">
          <a:extLst>
            <a:ext uri="{FF2B5EF4-FFF2-40B4-BE49-F238E27FC236}">
              <a16:creationId xmlns:a16="http://schemas.microsoft.com/office/drawing/2014/main" id="{F1956F02-BD1C-40F9-9235-98933AFEF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513937" y="4241938"/>
          <a:ext cx="335936" cy="339587"/>
        </a:xfrm>
        <a:prstGeom prst="rect">
          <a:avLst/>
        </a:prstGeom>
      </xdr:spPr>
    </xdr:pic>
    <xdr:clientData/>
  </xdr:twoCellAnchor>
  <xdr:twoCellAnchor editAs="oneCell">
    <xdr:from>
      <xdr:col>10</xdr:col>
      <xdr:colOff>95251</xdr:colOff>
      <xdr:row>4</xdr:row>
      <xdr:rowOff>57150</xdr:rowOff>
    </xdr:from>
    <xdr:to>
      <xdr:col>10</xdr:col>
      <xdr:colOff>361950</xdr:colOff>
      <xdr:row>4</xdr:row>
      <xdr:rowOff>323849</xdr:rowOff>
    </xdr:to>
    <xdr:pic>
      <xdr:nvPicPr>
        <xdr:cNvPr id="8" name="Bild 7">
          <a:extLst>
            <a:ext uri="{FF2B5EF4-FFF2-40B4-BE49-F238E27FC236}">
              <a16:creationId xmlns:a16="http://schemas.microsoft.com/office/drawing/2014/main" id="{3099098F-E31C-400B-A6F8-CFE6F0AF5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7296151" y="1866900"/>
          <a:ext cx="266699" cy="266699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28</xdr:row>
      <xdr:rowOff>47625</xdr:rowOff>
    </xdr:from>
    <xdr:to>
      <xdr:col>1</xdr:col>
      <xdr:colOff>432353</xdr:colOff>
      <xdr:row>29</xdr:row>
      <xdr:rowOff>34948</xdr:rowOff>
    </xdr:to>
    <xdr:pic>
      <xdr:nvPicPr>
        <xdr:cNvPr id="15" name="Bild 14">
          <a:extLst>
            <a:ext uri="{FF2B5EF4-FFF2-40B4-BE49-F238E27FC236}">
              <a16:creationId xmlns:a16="http://schemas.microsoft.com/office/drawing/2014/main" id="{E92FB49A-AE43-4DB8-96C7-AF8C5038CB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500270" y="8111573"/>
          <a:ext cx="356153" cy="358638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22</xdr:row>
      <xdr:rowOff>114301</xdr:rowOff>
    </xdr:from>
    <xdr:to>
      <xdr:col>1</xdr:col>
      <xdr:colOff>361948</xdr:colOff>
      <xdr:row>23</xdr:row>
      <xdr:rowOff>57148</xdr:rowOff>
    </xdr:to>
    <xdr:pic>
      <xdr:nvPicPr>
        <xdr:cNvPr id="14" name="Bild 13">
          <a:extLst>
            <a:ext uri="{FF2B5EF4-FFF2-40B4-BE49-F238E27FC236}">
              <a16:creationId xmlns:a16="http://schemas.microsoft.com/office/drawing/2014/main" id="{74970117-32FE-43F1-A6DA-F1E9BB9795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tretch>
          <a:fillRect/>
        </a:stretch>
      </xdr:blipFill>
      <xdr:spPr>
        <a:xfrm>
          <a:off x="571500" y="6210301"/>
          <a:ext cx="219073" cy="219073"/>
        </a:xfrm>
        <a:prstGeom prst="rect">
          <a:avLst/>
        </a:prstGeom>
      </xdr:spPr>
    </xdr:pic>
    <xdr:clientData/>
  </xdr:twoCellAnchor>
  <xdr:twoCellAnchor editAs="absolute">
    <xdr:from>
      <xdr:col>0</xdr:col>
      <xdr:colOff>180976</xdr:colOff>
      <xdr:row>1</xdr:row>
      <xdr:rowOff>114300</xdr:rowOff>
    </xdr:from>
    <xdr:to>
      <xdr:col>2</xdr:col>
      <xdr:colOff>308054</xdr:colOff>
      <xdr:row>2</xdr:row>
      <xdr:rowOff>409575</xdr:rowOff>
    </xdr:to>
    <xdr:pic>
      <xdr:nvPicPr>
        <xdr:cNvPr id="25" name="Bildobjekt 24">
          <a:extLst>
            <a:ext uri="{FF2B5EF4-FFF2-40B4-BE49-F238E27FC236}">
              <a16:creationId xmlns:a16="http://schemas.microsoft.com/office/drawing/2014/main" id="{25803C49-6190-485E-A5A4-97AE405A9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80976" y="209550"/>
          <a:ext cx="1060528" cy="1057275"/>
        </a:xfrm>
        <a:prstGeom prst="rect">
          <a:avLst/>
        </a:prstGeom>
      </xdr:spPr>
    </xdr:pic>
    <xdr:clientData/>
  </xdr:twoCellAnchor>
  <xdr:twoCellAnchor editAs="oneCell">
    <xdr:from>
      <xdr:col>2</xdr:col>
      <xdr:colOff>340473</xdr:colOff>
      <xdr:row>16</xdr:row>
      <xdr:rowOff>19878</xdr:rowOff>
    </xdr:from>
    <xdr:to>
      <xdr:col>3</xdr:col>
      <xdr:colOff>35672</xdr:colOff>
      <xdr:row>17</xdr:row>
      <xdr:rowOff>1019</xdr:rowOff>
    </xdr:to>
    <xdr:pic>
      <xdr:nvPicPr>
        <xdr:cNvPr id="6" name="Bild 5" descr="Märke nytt med hel fyllning">
          <a:extLst>
            <a:ext uri="{FF2B5EF4-FFF2-40B4-BE49-F238E27FC236}">
              <a16:creationId xmlns:a16="http://schemas.microsoft.com/office/drawing/2014/main" id="{128DAD86-4879-EB6B-C0B7-E666F8FD42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6"/>
            </a:ext>
          </a:extLst>
        </a:blip>
        <a:stretch>
          <a:fillRect/>
        </a:stretch>
      </xdr:blipFill>
      <xdr:spPr>
        <a:xfrm>
          <a:off x="1272458" y="4902540"/>
          <a:ext cx="193429" cy="1921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70757</xdr:colOff>
      <xdr:row>39</xdr:row>
      <xdr:rowOff>16329</xdr:rowOff>
    </xdr:from>
    <xdr:to>
      <xdr:col>4</xdr:col>
      <xdr:colOff>43542</xdr:colOff>
      <xdr:row>45</xdr:row>
      <xdr:rowOff>32658</xdr:rowOff>
    </xdr:to>
    <xdr:sp macro="" textlink="">
      <xdr:nvSpPr>
        <xdr:cNvPr id="2" name="Pratbubbla: nedåtpil 1">
          <a:extLst>
            <a:ext uri="{FF2B5EF4-FFF2-40B4-BE49-F238E27FC236}">
              <a16:creationId xmlns:a16="http://schemas.microsoft.com/office/drawing/2014/main" id="{1BB3F8BC-8D6D-43AF-87B8-3A74387FB587}"/>
            </a:ext>
          </a:extLst>
        </xdr:cNvPr>
        <xdr:cNvSpPr/>
      </xdr:nvSpPr>
      <xdr:spPr>
        <a:xfrm>
          <a:off x="1246414" y="6928758"/>
          <a:ext cx="832757" cy="1094014"/>
        </a:xfrm>
        <a:prstGeom prst="downArrowCallout">
          <a:avLst>
            <a:gd name="adj1" fmla="val 11928"/>
            <a:gd name="adj2" fmla="val 14542"/>
            <a:gd name="adj3" fmla="val 13235"/>
            <a:gd name="adj4" fmla="val 84250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6</xdr:col>
      <xdr:colOff>27214</xdr:colOff>
      <xdr:row>40</xdr:row>
      <xdr:rowOff>38099</xdr:rowOff>
    </xdr:from>
    <xdr:to>
      <xdr:col>6</xdr:col>
      <xdr:colOff>114300</xdr:colOff>
      <xdr:row>40</xdr:row>
      <xdr:rowOff>141513</xdr:rowOff>
    </xdr:to>
    <xdr:sp macro="" textlink="">
      <xdr:nvSpPr>
        <xdr:cNvPr id="3" name="Pil: höger 2">
          <a:extLst>
            <a:ext uri="{FF2B5EF4-FFF2-40B4-BE49-F238E27FC236}">
              <a16:creationId xmlns:a16="http://schemas.microsoft.com/office/drawing/2014/main" id="{CFC9BD15-34B5-4860-AA70-B2681E875DBD}"/>
            </a:ext>
          </a:extLst>
        </xdr:cNvPr>
        <xdr:cNvSpPr/>
      </xdr:nvSpPr>
      <xdr:spPr>
        <a:xfrm>
          <a:off x="3178628" y="7130142"/>
          <a:ext cx="87086" cy="103414"/>
        </a:xfrm>
        <a:prstGeom prst="rightArrow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6</xdr:col>
      <xdr:colOff>32657</xdr:colOff>
      <xdr:row>41</xdr:row>
      <xdr:rowOff>43543</xdr:rowOff>
    </xdr:from>
    <xdr:to>
      <xdr:col>6</xdr:col>
      <xdr:colOff>119743</xdr:colOff>
      <xdr:row>41</xdr:row>
      <xdr:rowOff>146957</xdr:rowOff>
    </xdr:to>
    <xdr:sp macro="" textlink="">
      <xdr:nvSpPr>
        <xdr:cNvPr id="4" name="Pil: höger 3">
          <a:extLst>
            <a:ext uri="{FF2B5EF4-FFF2-40B4-BE49-F238E27FC236}">
              <a16:creationId xmlns:a16="http://schemas.microsoft.com/office/drawing/2014/main" id="{08311278-F1EB-49F9-9C88-3858F576949B}"/>
            </a:ext>
          </a:extLst>
        </xdr:cNvPr>
        <xdr:cNvSpPr/>
      </xdr:nvSpPr>
      <xdr:spPr>
        <a:xfrm>
          <a:off x="3184071" y="7315200"/>
          <a:ext cx="87086" cy="103414"/>
        </a:xfrm>
        <a:prstGeom prst="rightArrow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6</xdr:col>
      <xdr:colOff>32657</xdr:colOff>
      <xdr:row>42</xdr:row>
      <xdr:rowOff>48987</xdr:rowOff>
    </xdr:from>
    <xdr:to>
      <xdr:col>6</xdr:col>
      <xdr:colOff>119743</xdr:colOff>
      <xdr:row>42</xdr:row>
      <xdr:rowOff>152401</xdr:rowOff>
    </xdr:to>
    <xdr:sp macro="" textlink="">
      <xdr:nvSpPr>
        <xdr:cNvPr id="5" name="Pil: höger 4">
          <a:extLst>
            <a:ext uri="{FF2B5EF4-FFF2-40B4-BE49-F238E27FC236}">
              <a16:creationId xmlns:a16="http://schemas.microsoft.com/office/drawing/2014/main" id="{41C72450-BC67-4016-B6DE-F90987065B9E}"/>
            </a:ext>
          </a:extLst>
        </xdr:cNvPr>
        <xdr:cNvSpPr/>
      </xdr:nvSpPr>
      <xdr:spPr>
        <a:xfrm>
          <a:off x="3184071" y="7500258"/>
          <a:ext cx="87086" cy="103414"/>
        </a:xfrm>
        <a:prstGeom prst="rightArrow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6</xdr:col>
      <xdr:colOff>38100</xdr:colOff>
      <xdr:row>43</xdr:row>
      <xdr:rowOff>43543</xdr:rowOff>
    </xdr:from>
    <xdr:to>
      <xdr:col>6</xdr:col>
      <xdr:colOff>125186</xdr:colOff>
      <xdr:row>43</xdr:row>
      <xdr:rowOff>146957</xdr:rowOff>
    </xdr:to>
    <xdr:sp macro="" textlink="">
      <xdr:nvSpPr>
        <xdr:cNvPr id="6" name="Pil: höger 5">
          <a:extLst>
            <a:ext uri="{FF2B5EF4-FFF2-40B4-BE49-F238E27FC236}">
              <a16:creationId xmlns:a16="http://schemas.microsoft.com/office/drawing/2014/main" id="{E836FC84-398B-413F-8E73-0BBDD7663CE7}"/>
            </a:ext>
          </a:extLst>
        </xdr:cNvPr>
        <xdr:cNvSpPr/>
      </xdr:nvSpPr>
      <xdr:spPr>
        <a:xfrm>
          <a:off x="3189514" y="7674429"/>
          <a:ext cx="87086" cy="103414"/>
        </a:xfrm>
        <a:prstGeom prst="rightArrow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6</xdr:col>
      <xdr:colOff>38100</xdr:colOff>
      <xdr:row>44</xdr:row>
      <xdr:rowOff>38100</xdr:rowOff>
    </xdr:from>
    <xdr:to>
      <xdr:col>6</xdr:col>
      <xdr:colOff>125186</xdr:colOff>
      <xdr:row>44</xdr:row>
      <xdr:rowOff>141514</xdr:rowOff>
    </xdr:to>
    <xdr:sp macro="" textlink="">
      <xdr:nvSpPr>
        <xdr:cNvPr id="8" name="Pil: höger 7">
          <a:extLst>
            <a:ext uri="{FF2B5EF4-FFF2-40B4-BE49-F238E27FC236}">
              <a16:creationId xmlns:a16="http://schemas.microsoft.com/office/drawing/2014/main" id="{E4B2B4B8-FCD3-4EE8-97A7-BBA040C8E871}"/>
            </a:ext>
          </a:extLst>
        </xdr:cNvPr>
        <xdr:cNvSpPr/>
      </xdr:nvSpPr>
      <xdr:spPr>
        <a:xfrm>
          <a:off x="3189514" y="7848600"/>
          <a:ext cx="87086" cy="103414"/>
        </a:xfrm>
        <a:prstGeom prst="rightArrow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8</xdr:col>
      <xdr:colOff>572815</xdr:colOff>
      <xdr:row>37</xdr:row>
      <xdr:rowOff>157655</xdr:rowOff>
    </xdr:from>
    <xdr:to>
      <xdr:col>15</xdr:col>
      <xdr:colOff>136635</xdr:colOff>
      <xdr:row>60</xdr:row>
      <xdr:rowOff>131379</xdr:rowOff>
    </xdr:to>
    <xdr:sp macro="" textlink="">
      <xdr:nvSpPr>
        <xdr:cNvPr id="7" name="textruta 6">
          <a:extLst>
            <a:ext uri="{FF2B5EF4-FFF2-40B4-BE49-F238E27FC236}">
              <a16:creationId xmlns:a16="http://schemas.microsoft.com/office/drawing/2014/main" id="{4625715B-260E-B8BB-8396-FE61F0AA4D81}"/>
            </a:ext>
          </a:extLst>
        </xdr:cNvPr>
        <xdr:cNvSpPr txBox="1"/>
      </xdr:nvSpPr>
      <xdr:spPr>
        <a:xfrm>
          <a:off x="4692870" y="6679324"/>
          <a:ext cx="4876799" cy="4130565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NYA OB:S</a:t>
          </a:r>
          <a:r>
            <a:rPr lang="sv-SE" sz="1100" baseline="0"/>
            <a:t> höjda </a:t>
          </a:r>
          <a:r>
            <a:rPr lang="sv-SE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fr.o.m. 2023-04-01 </a:t>
          </a:r>
          <a:r>
            <a:rPr lang="sv-S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	</a:t>
          </a:r>
        </a:p>
        <a:p>
          <a:endParaRPr lang="sv-SE" sz="1100" baseline="0"/>
        </a:p>
        <a:p>
          <a:endParaRPr lang="sv-SE" sz="1100" baseline="0"/>
        </a:p>
        <a:p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**O-tilläggstid C** (53,00 kr/timme) gäller nattetid på vardagar, specifikt mellan 22.00 till 24.00 från måndag till torsdag samt mellan 00.00 till 06.00 från tisdag till fredag.</a:t>
          </a:r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**O-tilläggstid D** (24,00 kr/timme) gäller mellan 19.00 till 22.00 på vardagar.</a:t>
          </a:r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1100"/>
        </a:p>
        <a:p>
          <a:endParaRPr lang="sv-SE" sz="1100"/>
        </a:p>
        <a:p>
          <a:r>
            <a:rPr lang="sv-SE" sz="1100"/>
            <a:t>Om du arbetar en vanlig helg, det vill säga en helg som inte sammanfaller med en speciell helgdag som beskrivs under "O-tilläggstid A", faller du under "O-tilläggstid B". Det innebär följande:</a:t>
          </a:r>
        </a:p>
        <a:p>
          <a:endParaRPr lang="sv-SE" sz="1100"/>
        </a:p>
        <a:p>
          <a:r>
            <a:rPr lang="sv-SE" sz="1100"/>
            <a:t>Helg</a:t>
          </a:r>
        </a:p>
        <a:p>
          <a:r>
            <a:rPr lang="sv-SE" sz="1100"/>
            <a:t>1. Om du arbetar på dagtid, det vill säga mellan kl. 00.00 till 24.00 på lördag eller söndag, får du ett tillägg p</a:t>
          </a:r>
          <a:r>
            <a:rPr lang="sv-SE" sz="1100" b="1"/>
            <a:t>å 61,90 kr per timme.</a:t>
          </a:r>
        </a:p>
        <a:p>
          <a:endParaRPr lang="sv-SE" sz="1100"/>
        </a:p>
        <a:p>
          <a:r>
            <a:rPr lang="sv-SE" sz="1100"/>
            <a:t>2. Om du arbetar under natten, mellan kl. 22.00 till 06.00 natten mot lördag, söndag, får du ett högre </a:t>
          </a:r>
          <a:r>
            <a:rPr lang="sv-SE" sz="1100" b="1"/>
            <a:t>tillägg på 71,10 kr per timme.</a:t>
          </a:r>
        </a:p>
        <a:p>
          <a:endParaRPr lang="sv-SE" sz="1100"/>
        </a:p>
        <a:p>
          <a:r>
            <a:rPr lang="sv-SE" sz="1100"/>
            <a:t>Kom ihåg att dessa tillägg bara gäller under din ordinarie arbetstid. Om du arbetar över din ordinarie tid, kan andra regler och tillägg för övertid gälla.</a:t>
          </a:r>
        </a:p>
      </xdr:txBody>
    </xdr:sp>
    <xdr:clientData/>
  </xdr:twoCellAnchor>
  <xdr:twoCellAnchor>
    <xdr:from>
      <xdr:col>1</xdr:col>
      <xdr:colOff>898635</xdr:colOff>
      <xdr:row>17</xdr:row>
      <xdr:rowOff>141890</xdr:rowOff>
    </xdr:from>
    <xdr:to>
      <xdr:col>3</xdr:col>
      <xdr:colOff>656897</xdr:colOff>
      <xdr:row>21</xdr:row>
      <xdr:rowOff>36787</xdr:rowOff>
    </xdr:to>
    <xdr:sp macro="" textlink="">
      <xdr:nvSpPr>
        <xdr:cNvPr id="9" name="textruta 8">
          <a:extLst>
            <a:ext uri="{FF2B5EF4-FFF2-40B4-BE49-F238E27FC236}">
              <a16:creationId xmlns:a16="http://schemas.microsoft.com/office/drawing/2014/main" id="{E4C285F3-644A-448A-8B6E-0B9B94C0C363}"/>
            </a:ext>
          </a:extLst>
        </xdr:cNvPr>
        <xdr:cNvSpPr txBox="1"/>
      </xdr:nvSpPr>
      <xdr:spPr>
        <a:xfrm>
          <a:off x="987973" y="3137338"/>
          <a:ext cx="919655" cy="604346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Friskvård 3000kr /12 månder</a:t>
          </a:r>
        </a:p>
      </xdr:txBody>
    </xdr:sp>
    <xdr:clientData/>
  </xdr:twoCellAnchor>
  <xdr:twoCellAnchor>
    <xdr:from>
      <xdr:col>10</xdr:col>
      <xdr:colOff>89338</xdr:colOff>
      <xdr:row>14</xdr:row>
      <xdr:rowOff>42041</xdr:rowOff>
    </xdr:from>
    <xdr:to>
      <xdr:col>12</xdr:col>
      <xdr:colOff>331076</xdr:colOff>
      <xdr:row>17</xdr:row>
      <xdr:rowOff>105104</xdr:rowOff>
    </xdr:to>
    <xdr:sp macro="" textlink="">
      <xdr:nvSpPr>
        <xdr:cNvPr id="10" name="textruta 9">
          <a:extLst>
            <a:ext uri="{FF2B5EF4-FFF2-40B4-BE49-F238E27FC236}">
              <a16:creationId xmlns:a16="http://schemas.microsoft.com/office/drawing/2014/main" id="{5C6FA107-CFAF-4AAF-ADA1-84039DE72BE2}"/>
            </a:ext>
          </a:extLst>
        </xdr:cNvPr>
        <xdr:cNvSpPr txBox="1"/>
      </xdr:nvSpPr>
      <xdr:spPr>
        <a:xfrm>
          <a:off x="5623035" y="2517227"/>
          <a:ext cx="2123089" cy="583325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/>
            <a:t>OB text</a:t>
          </a:r>
          <a:r>
            <a:rPr lang="sv-SE" sz="1100" b="1" baseline="0"/>
            <a:t> </a:t>
          </a:r>
          <a:r>
            <a:rPr lang="sv-SE" sz="1100" baseline="0"/>
            <a:t>och </a:t>
          </a:r>
          <a:r>
            <a:rPr lang="sv-SE" sz="1100" b="1" baseline="0"/>
            <a:t>Fromel helgpass </a:t>
          </a:r>
          <a:r>
            <a:rPr lang="sv-SE" sz="1100" baseline="0"/>
            <a:t>innehåller gamla värden men samma formel</a:t>
          </a:r>
          <a:endParaRPr lang="sv-SE" sz="1100"/>
        </a:p>
      </xdr:txBody>
    </xdr:sp>
    <xdr:clientData/>
  </xdr:twoCellAnchor>
  <xdr:twoCellAnchor>
    <xdr:from>
      <xdr:col>11</xdr:col>
      <xdr:colOff>78828</xdr:colOff>
      <xdr:row>33</xdr:row>
      <xdr:rowOff>84082</xdr:rowOff>
    </xdr:from>
    <xdr:to>
      <xdr:col>13</xdr:col>
      <xdr:colOff>262759</xdr:colOff>
      <xdr:row>33</xdr:row>
      <xdr:rowOff>84082</xdr:rowOff>
    </xdr:to>
    <xdr:cxnSp macro="">
      <xdr:nvCxnSpPr>
        <xdr:cNvPr id="12" name="Rak pilkoppling 11">
          <a:extLst>
            <a:ext uri="{FF2B5EF4-FFF2-40B4-BE49-F238E27FC236}">
              <a16:creationId xmlns:a16="http://schemas.microsoft.com/office/drawing/2014/main" id="{7EF479E2-3BF2-BE92-0323-B3A8433611B9}"/>
            </a:ext>
          </a:extLst>
        </xdr:cNvPr>
        <xdr:cNvCxnSpPr/>
      </xdr:nvCxnSpPr>
      <xdr:spPr>
        <a:xfrm flipH="1">
          <a:off x="6542690" y="5922579"/>
          <a:ext cx="180777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320566</xdr:colOff>
      <xdr:row>32</xdr:row>
      <xdr:rowOff>173420</xdr:rowOff>
    </xdr:from>
    <xdr:to>
      <xdr:col>14</xdr:col>
      <xdr:colOff>63062</xdr:colOff>
      <xdr:row>34</xdr:row>
      <xdr:rowOff>5255</xdr:rowOff>
    </xdr:to>
    <xdr:sp macro="" textlink="">
      <xdr:nvSpPr>
        <xdr:cNvPr id="14" name="Rektangel 13">
          <a:extLst>
            <a:ext uri="{FF2B5EF4-FFF2-40B4-BE49-F238E27FC236}">
              <a16:creationId xmlns:a16="http://schemas.microsoft.com/office/drawing/2014/main" id="{6B519BBE-2C7F-4735-C011-664E2A155B6B}"/>
            </a:ext>
          </a:extLst>
        </xdr:cNvPr>
        <xdr:cNvSpPr/>
      </xdr:nvSpPr>
      <xdr:spPr>
        <a:xfrm>
          <a:off x="8408276" y="5827986"/>
          <a:ext cx="588579" cy="199697"/>
        </a:xfrm>
        <a:prstGeom prst="rect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14</xdr:col>
      <xdr:colOff>63062</xdr:colOff>
      <xdr:row>33</xdr:row>
      <xdr:rowOff>89337</xdr:rowOff>
    </xdr:from>
    <xdr:to>
      <xdr:col>15</xdr:col>
      <xdr:colOff>0</xdr:colOff>
      <xdr:row>33</xdr:row>
      <xdr:rowOff>89338</xdr:rowOff>
    </xdr:to>
    <xdr:cxnSp macro="">
      <xdr:nvCxnSpPr>
        <xdr:cNvPr id="15" name="Rak pilkoppling 14">
          <a:extLst>
            <a:ext uri="{FF2B5EF4-FFF2-40B4-BE49-F238E27FC236}">
              <a16:creationId xmlns:a16="http://schemas.microsoft.com/office/drawing/2014/main" id="{2B357C50-BCB1-4D91-BA3A-751AC4F31516}"/>
            </a:ext>
          </a:extLst>
        </xdr:cNvPr>
        <xdr:cNvCxnSpPr>
          <a:endCxn id="14" idx="3"/>
        </xdr:cNvCxnSpPr>
      </xdr:nvCxnSpPr>
      <xdr:spPr>
        <a:xfrm flipH="1">
          <a:off x="8996855" y="5927834"/>
          <a:ext cx="609600" cy="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Region Västmanland">
  <a:themeElements>
    <a:clrScheme name="Kompetensmodell">
      <a:dk1>
        <a:sysClr val="windowText" lastClr="000000"/>
      </a:dk1>
      <a:lt1>
        <a:sysClr val="window" lastClr="FFFFFF"/>
      </a:lt1>
      <a:dk2>
        <a:srgbClr val="38300D"/>
      </a:dk2>
      <a:lt2>
        <a:srgbClr val="F3F3EC"/>
      </a:lt2>
      <a:accent1>
        <a:srgbClr val="54A6B4"/>
      </a:accent1>
      <a:accent2>
        <a:srgbClr val="71B64F"/>
      </a:accent2>
      <a:accent3>
        <a:srgbClr val="F0994B"/>
      </a:accent3>
      <a:accent4>
        <a:srgbClr val="7F52AA"/>
      </a:accent4>
      <a:accent5>
        <a:srgbClr val="EFC516"/>
      </a:accent5>
      <a:accent6>
        <a:srgbClr val="E73D36"/>
      </a:accent6>
      <a:hlink>
        <a:srgbClr val="54A6B4"/>
      </a:hlink>
      <a:folHlink>
        <a:srgbClr val="7F52AA"/>
      </a:folHlink>
    </a:clrScheme>
    <a:fontScheme name="Region Västmanland">
      <a:majorFont>
        <a:latin typeface="Calibri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1"/>
  <sheetViews>
    <sheetView showGridLines="0" tabSelected="1" zoomScale="130" zoomScaleNormal="130" workbookViewId="0">
      <selection activeCell="I13" sqref="I13"/>
    </sheetView>
  </sheetViews>
  <sheetFormatPr defaultColWidth="9" defaultRowHeight="13.8" x14ac:dyDescent="0.25"/>
  <cols>
    <col min="1" max="1" width="5.59765625" style="25" customWidth="1"/>
    <col min="2" max="2" width="6.59765625" style="25" customWidth="1"/>
    <col min="3" max="3" width="6.5" style="25" customWidth="1"/>
    <col min="4" max="4" width="35.09765625" style="25" customWidth="1"/>
    <col min="5" max="5" width="12.59765625" style="25" customWidth="1"/>
    <col min="6" max="6" width="3.3984375" style="25" customWidth="1"/>
    <col min="7" max="7" width="6.59765625" style="25" customWidth="1"/>
    <col min="8" max="8" width="3" style="25" customWidth="1"/>
    <col min="9" max="9" width="2.59765625" style="25" customWidth="1"/>
    <col min="10" max="10" width="12.3984375" style="25" customWidth="1"/>
    <col min="11" max="11" width="5.59765625" style="25" customWidth="1"/>
    <col min="12" max="16384" width="9" style="25"/>
  </cols>
  <sheetData>
    <row r="1" spans="1:22" s="40" customFormat="1" ht="7.5" customHeight="1" x14ac:dyDescent="0.25"/>
    <row r="2" spans="1:22" s="41" customFormat="1" ht="60" customHeight="1" x14ac:dyDescent="0.75">
      <c r="D2" s="42" t="s">
        <v>0</v>
      </c>
    </row>
    <row r="3" spans="1:22" s="41" customFormat="1" ht="45" customHeight="1" x14ac:dyDescent="0.25">
      <c r="D3" s="43" t="s">
        <v>18</v>
      </c>
    </row>
    <row r="4" spans="1:22" ht="30" customHeight="1" x14ac:dyDescent="0.25">
      <c r="A4" s="19"/>
    </row>
    <row r="5" spans="1:22" ht="30" customHeight="1" thickBot="1" x14ac:dyDescent="0.45">
      <c r="A5" s="19"/>
      <c r="B5" s="20"/>
      <c r="C5" s="29" t="s">
        <v>39</v>
      </c>
      <c r="D5" s="22"/>
      <c r="E5" s="23"/>
      <c r="F5" s="23"/>
      <c r="G5" s="24"/>
      <c r="H5" s="24"/>
      <c r="I5" s="24"/>
      <c r="K5" s="20"/>
      <c r="L5" s="29" t="s">
        <v>61</v>
      </c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22" ht="18" customHeight="1" thickTop="1" x14ac:dyDescent="0.4">
      <c r="A6" s="19"/>
      <c r="B6" s="20"/>
      <c r="C6" s="21"/>
      <c r="D6" s="31" t="s">
        <v>20</v>
      </c>
      <c r="E6" s="15" t="s">
        <v>37</v>
      </c>
      <c r="F6" s="23"/>
      <c r="G6" s="24"/>
      <c r="H6" s="24"/>
      <c r="I6" s="24"/>
      <c r="K6" s="26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2" ht="18" customHeight="1" x14ac:dyDescent="0.4">
      <c r="A7" s="19"/>
      <c r="B7" s="20"/>
      <c r="C7" s="21"/>
      <c r="D7" s="31" t="s">
        <v>41</v>
      </c>
      <c r="E7" s="16" t="s">
        <v>22</v>
      </c>
      <c r="F7" s="23"/>
      <c r="G7" s="24"/>
      <c r="H7" s="24"/>
      <c r="I7" s="24"/>
      <c r="K7" s="26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2" ht="18" customHeight="1" x14ac:dyDescent="0.4">
      <c r="A8" s="19"/>
      <c r="B8" s="20"/>
      <c r="C8" s="21"/>
      <c r="D8" s="31" t="s">
        <v>42</v>
      </c>
      <c r="E8" s="16" t="s">
        <v>28</v>
      </c>
      <c r="F8" s="23"/>
      <c r="G8" s="81" t="str">
        <f>IF(E9="Ständig natt",IF(E8="0 kväll /v","","⬅️ Ändra till ''0 kväll /v''"),"")</f>
        <v/>
      </c>
      <c r="H8" s="24"/>
      <c r="I8" s="24"/>
      <c r="K8" s="26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1:22" ht="18" customHeight="1" x14ac:dyDescent="0.4">
      <c r="A9" s="19"/>
      <c r="B9" s="20"/>
      <c r="C9" s="21"/>
      <c r="D9" s="31" t="s">
        <v>43</v>
      </c>
      <c r="E9" s="16" t="s">
        <v>32</v>
      </c>
      <c r="F9" s="23"/>
      <c r="G9" s="24"/>
      <c r="H9" s="24"/>
      <c r="I9" s="24"/>
      <c r="K9" s="26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</row>
    <row r="10" spans="1:22" ht="18" customHeight="1" x14ac:dyDescent="0.4">
      <c r="A10" s="19"/>
      <c r="B10" s="20"/>
      <c r="C10" s="21"/>
      <c r="D10" s="31" t="s">
        <v>40</v>
      </c>
      <c r="E10" s="17">
        <v>41000</v>
      </c>
      <c r="F10" s="23"/>
      <c r="G10" s="24"/>
      <c r="H10" s="24"/>
      <c r="I10" s="24"/>
      <c r="K10" s="26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1:22" ht="18" customHeight="1" x14ac:dyDescent="0.4">
      <c r="A11" s="19"/>
      <c r="B11" s="20"/>
      <c r="C11" s="21"/>
      <c r="D11" s="31" t="s">
        <v>44</v>
      </c>
      <c r="E11" s="18">
        <v>1</v>
      </c>
      <c r="F11" s="23"/>
      <c r="G11" s="24"/>
      <c r="H11" s="24"/>
      <c r="I11" s="24"/>
      <c r="K11" s="26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1:22" ht="18" customHeight="1" x14ac:dyDescent="0.4">
      <c r="A12" s="19"/>
      <c r="B12" s="20"/>
      <c r="C12" s="21"/>
      <c r="D12" s="22"/>
      <c r="E12" s="23"/>
      <c r="F12" s="23"/>
      <c r="G12" s="24"/>
      <c r="H12" s="24"/>
      <c r="I12" s="24"/>
      <c r="K12" s="26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</row>
    <row r="13" spans="1:22" ht="30" customHeight="1" x14ac:dyDescent="0.3">
      <c r="A13" s="19"/>
      <c r="C13" s="24"/>
      <c r="D13" s="24"/>
      <c r="E13" s="24"/>
      <c r="F13" s="24"/>
      <c r="G13" s="24"/>
      <c r="H13" s="24"/>
      <c r="I13" s="24"/>
      <c r="K13" s="26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</row>
    <row r="14" spans="1:22" ht="21.6" thickBot="1" x14ac:dyDescent="0.45">
      <c r="A14" s="19"/>
      <c r="B14" s="28"/>
      <c r="C14" s="29" t="s">
        <v>62</v>
      </c>
      <c r="D14" s="30"/>
      <c r="E14" s="23"/>
      <c r="F14" s="23"/>
      <c r="G14" s="24"/>
      <c r="H14" s="24"/>
      <c r="I14" s="24"/>
      <c r="K14" s="26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</row>
    <row r="15" spans="1:22" ht="17.399999999999999" thickTop="1" x14ac:dyDescent="0.3">
      <c r="B15" s="28"/>
      <c r="C15" s="23"/>
      <c r="D15" s="31" t="s">
        <v>60</v>
      </c>
      <c r="E15" s="32">
        <f>E10*E11</f>
        <v>41000</v>
      </c>
      <c r="F15" s="23"/>
      <c r="G15" s="24"/>
      <c r="H15" s="24"/>
      <c r="I15" s="24"/>
      <c r="K15" s="26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</row>
    <row r="16" spans="1:22" ht="16.8" x14ac:dyDescent="0.3">
      <c r="B16" s="28"/>
      <c r="C16" s="23"/>
      <c r="D16" s="31" t="s">
        <v>63</v>
      </c>
      <c r="E16" s="33">
        <f>Text!K34</f>
        <v>3958.5</v>
      </c>
      <c r="F16" s="23"/>
      <c r="G16" s="24"/>
      <c r="H16" s="24"/>
      <c r="I16" s="24"/>
      <c r="K16" s="26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</row>
    <row r="17" spans="2:22" ht="16.8" x14ac:dyDescent="0.3">
      <c r="B17" s="28"/>
      <c r="C17" s="23"/>
      <c r="D17" s="58" t="s">
        <v>71</v>
      </c>
      <c r="E17" s="59">
        <f>Text!K36</f>
        <v>1583.4</v>
      </c>
      <c r="F17" s="23"/>
      <c r="G17" s="24"/>
      <c r="H17" s="24"/>
      <c r="I17" s="24"/>
      <c r="K17" s="26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</row>
    <row r="18" spans="2:22" ht="16.8" x14ac:dyDescent="0.3">
      <c r="B18" s="28"/>
      <c r="C18" s="23"/>
      <c r="D18" s="31" t="s">
        <v>64</v>
      </c>
      <c r="E18" s="33">
        <f>Text!K33</f>
        <v>5135.3535353535362</v>
      </c>
      <c r="F18" s="23"/>
      <c r="G18" s="24"/>
      <c r="H18" s="24"/>
      <c r="I18" s="24"/>
      <c r="K18" s="26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</row>
    <row r="19" spans="2:22" ht="16.8" x14ac:dyDescent="0.3">
      <c r="B19" s="28"/>
      <c r="C19" s="23"/>
      <c r="D19" s="31" t="s">
        <v>65</v>
      </c>
      <c r="E19" s="33">
        <f>(E15+E16)*0.045</f>
        <v>2023.1324999999999</v>
      </c>
      <c r="F19" s="23"/>
      <c r="G19" s="24"/>
      <c r="H19" s="24"/>
      <c r="I19" s="24"/>
      <c r="K19" s="26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</row>
    <row r="20" spans="2:22" ht="16.8" x14ac:dyDescent="0.3">
      <c r="B20" s="28"/>
      <c r="C20" s="23"/>
      <c r="D20" s="31" t="s">
        <v>66</v>
      </c>
      <c r="E20" s="33">
        <v>250</v>
      </c>
      <c r="F20" s="23"/>
      <c r="G20" s="24"/>
      <c r="H20" s="24"/>
      <c r="I20" s="24"/>
      <c r="K20" s="26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</row>
    <row r="21" spans="2:22" ht="16.8" x14ac:dyDescent="0.3">
      <c r="B21" s="28"/>
      <c r="C21" s="23"/>
      <c r="D21" s="23"/>
      <c r="E21" s="23"/>
      <c r="F21" s="23"/>
      <c r="G21" s="24"/>
      <c r="H21" s="24"/>
      <c r="I21" s="24"/>
      <c r="K21" s="26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2:22" ht="30" customHeight="1" x14ac:dyDescent="0.3">
      <c r="C22" s="24"/>
      <c r="D22" s="24"/>
      <c r="E22" s="34"/>
      <c r="F22" s="24"/>
      <c r="G22" s="24"/>
      <c r="H22" s="24"/>
      <c r="I22" s="24"/>
      <c r="K22" s="26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3" spans="2:22" ht="21.6" thickBot="1" x14ac:dyDescent="0.45">
      <c r="B23" s="28"/>
      <c r="C23" s="29" t="s">
        <v>19</v>
      </c>
      <c r="D23" s="22"/>
      <c r="E23" s="35"/>
      <c r="F23" s="23"/>
      <c r="G23" s="23"/>
      <c r="H23" s="23"/>
      <c r="I23" s="23"/>
      <c r="K23" s="26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</row>
    <row r="24" spans="2:22" ht="31.8" thickTop="1" x14ac:dyDescent="0.6">
      <c r="B24" s="28"/>
      <c r="C24" s="23"/>
      <c r="D24" s="79" t="s">
        <v>2</v>
      </c>
      <c r="E24" s="45">
        <f>SUM(E15:E20)</f>
        <v>53950.386035353535</v>
      </c>
      <c r="F24" s="46"/>
      <c r="G24" s="47"/>
      <c r="H24" s="23"/>
      <c r="I24" s="23"/>
      <c r="K24" s="26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</row>
    <row r="25" spans="2:22" ht="14.25" customHeight="1" thickBot="1" x14ac:dyDescent="0.55000000000000004">
      <c r="B25" s="28"/>
      <c r="C25" s="23"/>
      <c r="D25" s="31"/>
      <c r="E25" s="36"/>
      <c r="F25" s="23"/>
      <c r="G25" s="23"/>
      <c r="H25" s="23"/>
      <c r="I25" s="23"/>
      <c r="K25" s="26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</row>
    <row r="26" spans="2:22" ht="21.6" thickTop="1" x14ac:dyDescent="0.4">
      <c r="B26" s="28"/>
      <c r="C26" s="23"/>
      <c r="D26" s="79" t="s">
        <v>1</v>
      </c>
      <c r="E26" s="37">
        <f>E24/165</f>
        <v>326.97203657790021</v>
      </c>
      <c r="F26" s="23"/>
      <c r="G26" s="23"/>
      <c r="H26" s="23"/>
      <c r="I26" s="23"/>
      <c r="K26" s="26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</row>
    <row r="27" spans="2:22" ht="16.8" x14ac:dyDescent="0.3">
      <c r="B27" s="28"/>
      <c r="C27" s="23"/>
      <c r="D27" s="23"/>
      <c r="E27" s="23"/>
      <c r="F27" s="23"/>
      <c r="G27" s="23"/>
      <c r="H27" s="23"/>
      <c r="I27" s="23"/>
      <c r="K27" s="26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</row>
    <row r="28" spans="2:22" ht="30" customHeight="1" x14ac:dyDescent="0.4">
      <c r="D28" s="38" t="s">
        <v>55</v>
      </c>
      <c r="E28" s="39"/>
      <c r="F28" s="39"/>
      <c r="G28" s="39"/>
      <c r="H28" s="39"/>
      <c r="K28" s="26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2:22" ht="29.4" customHeight="1" thickBot="1" x14ac:dyDescent="0.45">
      <c r="B29" s="74"/>
      <c r="C29" s="86" t="s">
        <v>93</v>
      </c>
      <c r="D29" s="22"/>
      <c r="E29" s="72"/>
      <c r="F29" s="72"/>
      <c r="G29" s="72"/>
      <c r="H29" s="72"/>
      <c r="I29" s="27"/>
      <c r="K29" s="26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2:22" ht="31.8" thickTop="1" x14ac:dyDescent="0.6">
      <c r="B30" s="74"/>
      <c r="C30" s="85"/>
      <c r="D30" s="79" t="s">
        <v>81</v>
      </c>
      <c r="E30" s="75" t="str">
        <f>Text!J73</f>
        <v>34:15</v>
      </c>
      <c r="F30" s="76"/>
      <c r="G30" s="77"/>
      <c r="H30" s="72"/>
      <c r="I30" s="27"/>
      <c r="K30" s="26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</row>
    <row r="31" spans="2:22" ht="17.399999999999999" thickBot="1" x14ac:dyDescent="0.45">
      <c r="B31" s="74"/>
      <c r="C31" s="27"/>
      <c r="D31" s="73" t="s">
        <v>55</v>
      </c>
      <c r="E31" s="72"/>
      <c r="F31" s="72"/>
      <c r="G31" s="72"/>
      <c r="H31" s="72"/>
      <c r="I31" s="27"/>
      <c r="K31" s="26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</row>
    <row r="32" spans="2:22" ht="21.6" thickTop="1" x14ac:dyDescent="0.4">
      <c r="B32" s="74"/>
      <c r="C32" s="27"/>
      <c r="D32" s="80" t="s">
        <v>92</v>
      </c>
      <c r="E32" s="78" t="str">
        <f>Text!J74</f>
        <v>-23:00</v>
      </c>
      <c r="F32" s="72"/>
      <c r="G32" s="72"/>
      <c r="H32" s="72"/>
      <c r="I32" s="27"/>
      <c r="K32" s="26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</row>
    <row r="33" spans="2:22" ht="16.8" x14ac:dyDescent="0.4">
      <c r="B33" s="74"/>
      <c r="C33" s="27"/>
      <c r="D33" s="73" t="s">
        <v>55</v>
      </c>
      <c r="E33" s="72"/>
      <c r="F33" s="72"/>
      <c r="G33" s="72"/>
      <c r="H33" s="72"/>
      <c r="I33" s="27"/>
      <c r="K33" s="26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</row>
    <row r="34" spans="2:22" x14ac:dyDescent="0.25">
      <c r="K34" s="26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</row>
    <row r="35" spans="2:22" ht="334.8" customHeight="1" x14ac:dyDescent="0.25">
      <c r="D35" s="84" t="str">
        <f>IF(E11=100%, "", IF(OR(E9="Ständig natt", E9="Ej natt"), "", Text!F79))</f>
        <v/>
      </c>
      <c r="E35" s="84"/>
      <c r="F35" s="84"/>
      <c r="G35" s="84"/>
      <c r="H35" s="82"/>
    </row>
    <row r="36" spans="2:22" ht="16.8" x14ac:dyDescent="0.4">
      <c r="D36" s="38" t="s">
        <v>55</v>
      </c>
      <c r="E36" s="39"/>
      <c r="F36" s="39"/>
      <c r="G36" s="39"/>
      <c r="H36" s="39"/>
    </row>
    <row r="37" spans="2:22" ht="16.8" x14ac:dyDescent="0.4">
      <c r="D37" s="38" t="s">
        <v>55</v>
      </c>
      <c r="E37" s="39"/>
      <c r="F37" s="39"/>
      <c r="G37" s="39"/>
      <c r="H37" s="39"/>
    </row>
    <row r="38" spans="2:22" ht="16.8" x14ac:dyDescent="0.4">
      <c r="D38" s="38" t="s">
        <v>55</v>
      </c>
      <c r="E38" s="39"/>
      <c r="F38" s="39"/>
      <c r="G38" s="39"/>
      <c r="H38" s="39"/>
    </row>
    <row r="39" spans="2:22" ht="16.8" x14ac:dyDescent="0.4">
      <c r="D39" s="38" t="s">
        <v>55</v>
      </c>
      <c r="E39" s="39"/>
      <c r="F39" s="39"/>
      <c r="G39" s="39"/>
      <c r="H39" s="39"/>
    </row>
    <row r="40" spans="2:22" ht="16.8" x14ac:dyDescent="0.4">
      <c r="D40" s="38" t="s">
        <v>55</v>
      </c>
      <c r="E40" s="39"/>
      <c r="F40" s="39"/>
      <c r="G40" s="39"/>
      <c r="H40" s="39"/>
    </row>
    <row r="41" spans="2:22" ht="14.25" customHeight="1" x14ac:dyDescent="0.4">
      <c r="D41" s="38" t="s">
        <v>55</v>
      </c>
      <c r="E41" s="39"/>
      <c r="F41" s="39"/>
      <c r="G41" s="39"/>
      <c r="H41" s="39"/>
    </row>
  </sheetData>
  <sheetProtection algorithmName="SHA-512" hashValue="fTFeho3i6gHRanyUF8E04OGsOHyGIVC5yYDu1+sLkrczB/xQpvdJdjRx210IyoaNog/YhIewt3iNyZ8zb/bHIw==" saltValue="1WDrAH0zSqFuQDYNQDDOyw==" spinCount="100000" sheet="1" objects="1" scenarios="1"/>
  <mergeCells count="3">
    <mergeCell ref="E24:G24"/>
    <mergeCell ref="E30:G30"/>
    <mergeCell ref="D35:G35"/>
  </mergeCells>
  <dataValidations count="4">
    <dataValidation type="list" allowBlank="1" showInputMessage="1" showErrorMessage="1" sqref="E9" xr:uid="{00000000-0002-0000-0000-000000000000}">
      <formula1>natt</formula1>
    </dataValidation>
    <dataValidation type="list" allowBlank="1" showInputMessage="1" showErrorMessage="1" sqref="E8" xr:uid="{00000000-0002-0000-0000-000001000000}">
      <formula1>kväll</formula1>
    </dataValidation>
    <dataValidation type="list" allowBlank="1" showInputMessage="1" showErrorMessage="1" sqref="E7" xr:uid="{00000000-0002-0000-0000-000002000000}">
      <formula1>helgpass</formula1>
    </dataValidation>
    <dataValidation type="list" allowBlank="1" showInputMessage="1" showErrorMessage="1" sqref="E6" xr:uid="{00000000-0002-0000-0000-000003000000}">
      <formula1>ålder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Q79"/>
  <sheetViews>
    <sheetView showGridLines="0" zoomScale="145" zoomScaleNormal="145" workbookViewId="0">
      <selection activeCell="J79" sqref="J79"/>
    </sheetView>
  </sheetViews>
  <sheetFormatPr defaultRowHeight="13.8" x14ac:dyDescent="0.25"/>
  <cols>
    <col min="1" max="1" width="1.19921875" customWidth="1"/>
    <col min="2" max="2" width="14.09765625" customWidth="1"/>
    <col min="3" max="3" width="1.19921875" customWidth="1"/>
    <col min="4" max="4" width="10" bestFit="1" customWidth="1"/>
    <col min="5" max="5" width="1.5" customWidth="1"/>
    <col min="6" max="6" width="13.09765625" customWidth="1"/>
    <col min="7" max="7" width="1.8984375" customWidth="1"/>
    <col min="8" max="8" width="11.09765625" bestFit="1" customWidth="1"/>
    <col min="10" max="10" width="9.69921875" bestFit="1" customWidth="1"/>
    <col min="11" max="11" width="12.19921875" bestFit="1" customWidth="1"/>
    <col min="12" max="12" width="12.5" bestFit="1" customWidth="1"/>
    <col min="14" max="14" width="11.09765625" customWidth="1"/>
    <col min="16" max="16" width="9.796875" bestFit="1" customWidth="1"/>
  </cols>
  <sheetData>
    <row r="3" spans="6:6" ht="15" x14ac:dyDescent="0.25">
      <c r="F3" s="1" t="s">
        <v>3</v>
      </c>
    </row>
    <row r="4" spans="6:6" x14ac:dyDescent="0.25">
      <c r="F4" t="s">
        <v>4</v>
      </c>
    </row>
    <row r="5" spans="6:6" x14ac:dyDescent="0.25">
      <c r="F5" t="s">
        <v>5</v>
      </c>
    </row>
    <row r="6" spans="6:6" x14ac:dyDescent="0.25">
      <c r="F6" t="s">
        <v>6</v>
      </c>
    </row>
    <row r="7" spans="6:6" x14ac:dyDescent="0.25">
      <c r="F7" t="s">
        <v>7</v>
      </c>
    </row>
    <row r="10" spans="6:6" ht="15" x14ac:dyDescent="0.25">
      <c r="F10" s="1" t="s">
        <v>11</v>
      </c>
    </row>
    <row r="11" spans="6:6" x14ac:dyDescent="0.25">
      <c r="F11" t="s">
        <v>9</v>
      </c>
    </row>
    <row r="12" spans="6:6" x14ac:dyDescent="0.25">
      <c r="F12" t="s">
        <v>8</v>
      </c>
    </row>
    <row r="14" spans="6:6" ht="15" x14ac:dyDescent="0.25">
      <c r="F14" s="1" t="s">
        <v>10</v>
      </c>
    </row>
    <row r="15" spans="6:6" x14ac:dyDescent="0.25">
      <c r="F15" t="s">
        <v>12</v>
      </c>
    </row>
    <row r="16" spans="6:6" x14ac:dyDescent="0.25">
      <c r="F16" t="s">
        <v>15</v>
      </c>
    </row>
    <row r="17" spans="4:17" x14ac:dyDescent="0.25">
      <c r="F17" t="s">
        <v>13</v>
      </c>
    </row>
    <row r="19" spans="4:17" ht="15" x14ac:dyDescent="0.25">
      <c r="F19" s="1" t="s">
        <v>14</v>
      </c>
    </row>
    <row r="20" spans="4:17" x14ac:dyDescent="0.25">
      <c r="F20" t="s">
        <v>16</v>
      </c>
    </row>
    <row r="21" spans="4:17" x14ac:dyDescent="0.25">
      <c r="F21" t="s">
        <v>17</v>
      </c>
    </row>
    <row r="22" spans="4:17" ht="14.4" thickBot="1" x14ac:dyDescent="0.3"/>
    <row r="23" spans="4:17" x14ac:dyDescent="0.25">
      <c r="H23" s="49" t="s">
        <v>58</v>
      </c>
      <c r="I23" s="50"/>
    </row>
    <row r="24" spans="4:17" ht="14.4" thickBot="1" x14ac:dyDescent="0.3">
      <c r="F24" t="s">
        <v>20</v>
      </c>
      <c r="H24" s="13" t="s">
        <v>57</v>
      </c>
      <c r="I24" s="14" t="s">
        <v>56</v>
      </c>
      <c r="J24" t="s">
        <v>1</v>
      </c>
      <c r="K24" t="s">
        <v>59</v>
      </c>
    </row>
    <row r="25" spans="4:17" x14ac:dyDescent="0.25">
      <c r="F25" s="2" t="s">
        <v>36</v>
      </c>
      <c r="H25" s="12">
        <v>25</v>
      </c>
      <c r="I25" s="12">
        <f>H25/12</f>
        <v>2.0833333333333335</v>
      </c>
      <c r="J25" s="3">
        <f>'Grund kalkyl'!$E$15/165+N("Lön inkl. ev partiell frånvaro DELAT på 165h som man gör på en månad")</f>
        <v>248.4848484848485</v>
      </c>
      <c r="K25" s="3">
        <f>(8*I25)*J25</f>
        <v>4141.4141414141423</v>
      </c>
    </row>
    <row r="26" spans="4:17" x14ac:dyDescent="0.25">
      <c r="F26" s="2" t="s">
        <v>37</v>
      </c>
      <c r="H26" s="11">
        <v>31</v>
      </c>
      <c r="I26" s="11">
        <f t="shared" ref="I26:I27" si="0">H26/12</f>
        <v>2.5833333333333335</v>
      </c>
      <c r="J26" s="3">
        <f>'Grund kalkyl'!$E$15/165+N("Lön inkl. ev partiell frånvaro DELAT på 165h som man gör på en månad")</f>
        <v>248.4848484848485</v>
      </c>
      <c r="K26" s="3">
        <f t="shared" ref="K26:K27" si="1">(8*I26)*J26</f>
        <v>5135.3535353535362</v>
      </c>
    </row>
    <row r="27" spans="4:17" x14ac:dyDescent="0.25">
      <c r="F27" s="2" t="s">
        <v>38</v>
      </c>
      <c r="H27" s="11">
        <v>32</v>
      </c>
      <c r="I27" s="11">
        <f t="shared" si="0"/>
        <v>2.6666666666666665</v>
      </c>
      <c r="J27" s="3">
        <f>'Grund kalkyl'!$E$15/165+N("Lön inkl. ev partiell frånvaro DELAT på 165h som man gör på en månad")</f>
        <v>248.4848484848485</v>
      </c>
      <c r="K27" s="3">
        <f t="shared" si="1"/>
        <v>5301.0101010101007</v>
      </c>
      <c r="O27" s="63" t="s">
        <v>75</v>
      </c>
      <c r="P27" s="64"/>
      <c r="Q27" s="65"/>
    </row>
    <row r="28" spans="4:17" x14ac:dyDescent="0.25">
      <c r="O28" s="3">
        <f>D30</f>
        <v>61.9</v>
      </c>
      <c r="P28" s="3">
        <f>D41</f>
        <v>53</v>
      </c>
      <c r="Q28" s="3">
        <f>O28-P28</f>
        <v>8.8999999999999986</v>
      </c>
    </row>
    <row r="29" spans="4:17" ht="14.4" thickBot="1" x14ac:dyDescent="0.3">
      <c r="D29" t="s">
        <v>51</v>
      </c>
      <c r="F29" s="66" t="s">
        <v>21</v>
      </c>
      <c r="H29" s="66" t="s">
        <v>46</v>
      </c>
      <c r="K29" s="66" t="s">
        <v>54</v>
      </c>
    </row>
    <row r="30" spans="4:17" x14ac:dyDescent="0.25">
      <c r="D30" s="7">
        <v>61.9</v>
      </c>
      <c r="F30" s="2" t="s">
        <v>22</v>
      </c>
      <c r="H30" s="5">
        <f>(((1.25*4)*8)-5)*$D$30+N("varannan helg ger en helg kvot på 1,25 per vecka GÅNGER fyra veckor GÅNGER 8 timmars pass MINUS 5 timmar för att ett av helgpassen är en fredag som endast ger 3 timmar helg ob GÅNGER helg ob erästtningen")</f>
        <v>2166.5</v>
      </c>
      <c r="K30" s="53">
        <f>IF('Grund kalkyl'!E7=Text!F30,Text!H30, IF('Grund kalkyl'!E7=Text!F31,Text!H31,0))</f>
        <v>2166.5</v>
      </c>
      <c r="L30" s="51" t="str">
        <f>'Grund kalkyl'!E7</f>
        <v>Varannan helg</v>
      </c>
    </row>
    <row r="31" spans="4:17" x14ac:dyDescent="0.25">
      <c r="F31" s="2" t="s">
        <v>23</v>
      </c>
      <c r="H31" s="5">
        <f>(((1*4)*8)-5)*$D$30+N("två helger av fem ger en helg kvot på 1 per vecka GÅNGER fyra veckor GÅNGER 8 timmars pass MINUS 5 timmar för att ett av helgpassen är en fredag som endast ger 3 timmar helg ob GÅNGER helg ob erästtningen")</f>
        <v>1671.3</v>
      </c>
      <c r="K31" s="54">
        <f>IF('Grund kalkyl'!E8=Text!F35,Text!H35,IF('Grund kalkyl'!E8=Text!F36,Text!H36,IF('Grund kalkyl'!E8=Text!F37,Text!H37,0)))</f>
        <v>0</v>
      </c>
      <c r="L31" s="51" t="str">
        <f>'Grund kalkyl'!E8</f>
        <v>0 kväll /v</v>
      </c>
      <c r="N31" s="60" t="s">
        <v>72</v>
      </c>
      <c r="O31" s="60" t="s">
        <v>73</v>
      </c>
      <c r="P31" s="60" t="s">
        <v>74</v>
      </c>
    </row>
    <row r="32" spans="4:17" ht="14.4" thickBot="1" x14ac:dyDescent="0.3">
      <c r="F32" s="2" t="s">
        <v>24</v>
      </c>
      <c r="H32" s="3"/>
      <c r="K32" s="55">
        <f>IF('Grund kalkyl'!E9=Text!F41,Text!H41,IF('Grund kalkyl'!E9=Text!F42,Text!H42,IF('Grund kalkyl'!E9=Text!F43,Text!H43,IF('Grund kalkyl'!E9=Text!F44,Text!H44,IF('Grund kalkyl'!E9=Text!F45,Text!H45,0)))))</f>
        <v>1792</v>
      </c>
      <c r="L32" s="51" t="str">
        <f>'Grund kalkyl'!E9</f>
        <v>1 natt /v</v>
      </c>
      <c r="N32" s="3" t="b">
        <f>IF(L32="Ständig natt",TRUE,FALSE)</f>
        <v>0</v>
      </c>
      <c r="O32" s="3" t="b">
        <f>IF(N32=TRUE,IF(L30="Ej helg",FALSE,TRUE),FALSE)</f>
        <v>0</v>
      </c>
      <c r="P32" s="61" t="b">
        <f>IF(O32=TRUE,
IF(L30="Varannan helg",1.25*4,
IF(L30="2 helger av 5",1*4,0)))</f>
        <v>0</v>
      </c>
    </row>
    <row r="33" spans="2:17" ht="14.4" thickBot="1" x14ac:dyDescent="0.3">
      <c r="K33" s="52">
        <f>IF('Grund kalkyl'!E6=Text!F25,Text!K25,IF('Grund kalkyl'!E6=Text!F26,Text!K26,IF('Grund kalkyl'!E6=Text!F27,Text!K27,0)))</f>
        <v>5135.3535353535362</v>
      </c>
      <c r="L33" s="9" t="str">
        <f>'Grund kalkyl'!E6</f>
        <v>40&gt; år</v>
      </c>
      <c r="P33">
        <f>P32*10</f>
        <v>0</v>
      </c>
      <c r="Q33" t="s">
        <v>76</v>
      </c>
    </row>
    <row r="34" spans="2:17" ht="14.4" thickBot="1" x14ac:dyDescent="0.3">
      <c r="D34" t="s">
        <v>52</v>
      </c>
      <c r="F34" s="66" t="s">
        <v>29</v>
      </c>
      <c r="H34" s="66" t="s">
        <v>46</v>
      </c>
      <c r="K34" s="10">
        <f>SUM(K30:K32)-N34+N("N34 tar bort vanlig ob och lägger på skillnaden för helgarbete för de som jobbar natt")</f>
        <v>3958.5</v>
      </c>
      <c r="N34">
        <f>IF(O32=TRUE,K30-P34,0)</f>
        <v>0</v>
      </c>
      <c r="P34" s="44">
        <f>P33*Q28</f>
        <v>0</v>
      </c>
      <c r="Q34" t="s">
        <v>77</v>
      </c>
    </row>
    <row r="35" spans="2:17" x14ac:dyDescent="0.25">
      <c r="C35" s="8" t="s">
        <v>53</v>
      </c>
      <c r="D35" s="7">
        <v>24</v>
      </c>
      <c r="F35" s="2" t="s">
        <v>25</v>
      </c>
      <c r="H35" s="5">
        <f>((1*4)*3)*$D$35</f>
        <v>288</v>
      </c>
      <c r="M35" s="62" t="s">
        <v>78</v>
      </c>
      <c r="O35" s="62" t="s">
        <v>78</v>
      </c>
    </row>
    <row r="36" spans="2:17" x14ac:dyDescent="0.25">
      <c r="F36" s="2" t="s">
        <v>26</v>
      </c>
      <c r="H36" s="5">
        <f>((2*4)*3)*$D$35</f>
        <v>576</v>
      </c>
      <c r="J36" s="57" t="s">
        <v>70</v>
      </c>
      <c r="K36" s="56">
        <f>K34*0.4</f>
        <v>1583.4</v>
      </c>
    </row>
    <row r="37" spans="2:17" x14ac:dyDescent="0.25">
      <c r="F37" s="2" t="s">
        <v>27</v>
      </c>
      <c r="H37" s="5">
        <f>((3*4)*3)*$D$35</f>
        <v>864</v>
      </c>
    </row>
    <row r="38" spans="2:17" x14ac:dyDescent="0.25">
      <c r="F38" s="2" t="s">
        <v>28</v>
      </c>
      <c r="H38" s="2"/>
    </row>
    <row r="39" spans="2:17" ht="27" customHeight="1" x14ac:dyDescent="0.25">
      <c r="F39" s="66" t="s">
        <v>30</v>
      </c>
    </row>
    <row r="40" spans="2:17" x14ac:dyDescent="0.25">
      <c r="B40" s="48" t="s">
        <v>49</v>
      </c>
      <c r="D40" t="s">
        <v>45</v>
      </c>
      <c r="F40" s="2" t="s">
        <v>69</v>
      </c>
      <c r="H40" s="66" t="s">
        <v>46</v>
      </c>
    </row>
    <row r="41" spans="2:17" ht="14.25" customHeight="1" x14ac:dyDescent="0.25">
      <c r="B41" s="48"/>
      <c r="C41" s="4"/>
      <c r="D41" s="7">
        <v>53</v>
      </c>
      <c r="F41" s="2" t="s">
        <v>31</v>
      </c>
      <c r="H41" s="5">
        <f>(0.5*4)*$D$47+N("antal natt pass per vecka gånger fyra veckor GÅNGER ob per natt")</f>
        <v>896</v>
      </c>
    </row>
    <row r="42" spans="2:17" x14ac:dyDescent="0.25">
      <c r="B42" s="48"/>
      <c r="C42" s="4"/>
      <c r="D42" s="6" t="s">
        <v>50</v>
      </c>
      <c r="F42" s="2" t="s">
        <v>32</v>
      </c>
      <c r="H42" s="5">
        <f>(1*4)*$D$47+N("antal natt pass per vecka GÅNGER fyra veckor GÅNGER ob per natt")</f>
        <v>1792</v>
      </c>
    </row>
    <row r="43" spans="2:17" x14ac:dyDescent="0.25">
      <c r="B43" s="48"/>
      <c r="C43" s="4"/>
      <c r="D43" t="s">
        <v>47</v>
      </c>
      <c r="F43" s="2" t="s">
        <v>33</v>
      </c>
      <c r="H43" s="5">
        <f>(1.5*4)*$D$47+N("antal natt pass per vecka GÅNGER fyra veckor GÅNGER ob per natt")</f>
        <v>2688</v>
      </c>
    </row>
    <row r="44" spans="2:17" x14ac:dyDescent="0.25">
      <c r="B44" s="48"/>
      <c r="C44" s="4"/>
      <c r="D44" s="7">
        <v>24</v>
      </c>
      <c r="F44" s="2" t="s">
        <v>34</v>
      </c>
      <c r="H44" s="5">
        <f>(2*4)*$D$47+N("antal natt pass per vecka GÅNGER fyra veckor GÅNGER ob per natt")</f>
        <v>3584</v>
      </c>
    </row>
    <row r="45" spans="2:17" x14ac:dyDescent="0.25">
      <c r="B45" s="48"/>
      <c r="C45" s="4"/>
      <c r="F45" s="2" t="s">
        <v>35</v>
      </c>
      <c r="H45" s="5">
        <f>(((32*4)*'Grund kalkyl'!E11)/10)*D47+N("FÖRKLARING")</f>
        <v>5734.4000000000005</v>
      </c>
    </row>
    <row r="46" spans="2:17" x14ac:dyDescent="0.25">
      <c r="B46" s="48"/>
      <c r="C46" s="4"/>
      <c r="D46" t="s">
        <v>48</v>
      </c>
    </row>
    <row r="47" spans="2:17" x14ac:dyDescent="0.25">
      <c r="B47" s="48"/>
      <c r="C47" s="4"/>
      <c r="D47" s="3">
        <f>(1*D44)+(8*D41)+N("En natt timme gånger kvälls ob PLUS 8 timmar med natt ob.")</f>
        <v>448</v>
      </c>
    </row>
    <row r="50" spans="6:12" x14ac:dyDescent="0.25">
      <c r="F50">
        <v>40</v>
      </c>
      <c r="H50" t="s">
        <v>67</v>
      </c>
    </row>
    <row r="51" spans="6:12" x14ac:dyDescent="0.25">
      <c r="F51">
        <v>38.25</v>
      </c>
      <c r="H51" t="s">
        <v>67</v>
      </c>
    </row>
    <row r="52" spans="6:12" x14ac:dyDescent="0.25">
      <c r="H52" t="s">
        <v>68</v>
      </c>
    </row>
    <row r="56" spans="6:12" x14ac:dyDescent="0.25">
      <c r="K56" s="67" t="s">
        <v>80</v>
      </c>
    </row>
    <row r="64" spans="6:12" x14ac:dyDescent="0.25">
      <c r="F64" s="66" t="s">
        <v>79</v>
      </c>
      <c r="H64" s="69" t="s">
        <v>82</v>
      </c>
      <c r="I64" s="69" t="s">
        <v>83</v>
      </c>
      <c r="J64" s="69" t="s">
        <v>84</v>
      </c>
      <c r="K64" s="69" t="s">
        <v>85</v>
      </c>
      <c r="L64" s="69" t="s">
        <v>86</v>
      </c>
    </row>
    <row r="65" spans="6:12" x14ac:dyDescent="0.25">
      <c r="F65" s="2" t="s">
        <v>69</v>
      </c>
      <c r="H65" s="2">
        <v>38.25</v>
      </c>
      <c r="I65" s="2"/>
      <c r="J65" s="2">
        <v>38.25</v>
      </c>
      <c r="K65" s="68">
        <f>J65/H65</f>
        <v>1</v>
      </c>
      <c r="L65" s="2">
        <f>J65-40</f>
        <v>-1.75</v>
      </c>
    </row>
    <row r="66" spans="6:12" x14ac:dyDescent="0.25">
      <c r="F66" s="2" t="s">
        <v>31</v>
      </c>
      <c r="H66" s="2">
        <v>38.25</v>
      </c>
      <c r="I66" s="2">
        <f>(0.5*4)</f>
        <v>2</v>
      </c>
      <c r="J66" s="2">
        <f>H66-I66</f>
        <v>36.25</v>
      </c>
      <c r="K66" s="68">
        <f t="shared" ref="K66:K69" si="2">J66/H66</f>
        <v>0.94771241830065356</v>
      </c>
      <c r="L66" s="2">
        <f t="shared" ref="L66:L70" si="3">J66-40</f>
        <v>-3.75</v>
      </c>
    </row>
    <row r="67" spans="6:12" x14ac:dyDescent="0.25">
      <c r="F67" s="2" t="s">
        <v>32</v>
      </c>
      <c r="H67" s="2">
        <v>38.25</v>
      </c>
      <c r="I67" s="2">
        <f>(1*4)</f>
        <v>4</v>
      </c>
      <c r="J67" s="2">
        <f t="shared" ref="J67:J69" si="4">H67-I67</f>
        <v>34.25</v>
      </c>
      <c r="K67" s="68">
        <f t="shared" si="2"/>
        <v>0.89542483660130723</v>
      </c>
      <c r="L67" s="2">
        <f t="shared" si="3"/>
        <v>-5.75</v>
      </c>
    </row>
    <row r="68" spans="6:12" x14ac:dyDescent="0.25">
      <c r="F68" s="2" t="s">
        <v>33</v>
      </c>
      <c r="H68" s="2">
        <v>38.25</v>
      </c>
      <c r="I68" s="2">
        <f>(1.5*4)</f>
        <v>6</v>
      </c>
      <c r="J68" s="2">
        <f t="shared" si="4"/>
        <v>32.25</v>
      </c>
      <c r="K68" s="68">
        <f t="shared" si="2"/>
        <v>0.84313725490196079</v>
      </c>
      <c r="L68" s="2">
        <f t="shared" si="3"/>
        <v>-7.75</v>
      </c>
    </row>
    <row r="69" spans="6:12" x14ac:dyDescent="0.25">
      <c r="F69" s="2" t="s">
        <v>34</v>
      </c>
      <c r="H69" s="2">
        <v>38.25</v>
      </c>
      <c r="I69" s="2">
        <f>(2*4)</f>
        <v>8</v>
      </c>
      <c r="J69" s="2">
        <f t="shared" si="4"/>
        <v>30.25</v>
      </c>
      <c r="K69" s="68">
        <f t="shared" si="2"/>
        <v>0.79084967320261434</v>
      </c>
      <c r="L69" s="2">
        <f t="shared" si="3"/>
        <v>-9.75</v>
      </c>
    </row>
    <row r="70" spans="6:12" x14ac:dyDescent="0.25">
      <c r="F70" s="2" t="s">
        <v>35</v>
      </c>
      <c r="H70" s="2">
        <v>32</v>
      </c>
      <c r="I70" s="2"/>
      <c r="J70" s="2">
        <v>32</v>
      </c>
      <c r="K70" s="2"/>
      <c r="L70" s="2">
        <f t="shared" si="3"/>
        <v>-8</v>
      </c>
    </row>
    <row r="72" spans="6:12" x14ac:dyDescent="0.25">
      <c r="H72" t="s">
        <v>89</v>
      </c>
      <c r="I72" t="s">
        <v>90</v>
      </c>
      <c r="J72" t="s">
        <v>91</v>
      </c>
    </row>
    <row r="73" spans="6:12" x14ac:dyDescent="0.25">
      <c r="F73" s="70" t="s">
        <v>87</v>
      </c>
      <c r="H73" s="71">
        <f>IF('Grund kalkyl'!E9=Text!F66,Text!J66,IF('Grund kalkyl'!E9=Text!F67,Text!J67,IF('Grund kalkyl'!E9=Text!F68,Text!J68,IF('Grund kalkyl'!E9=Text!F69,Text!J69,IF('Grund kalkyl'!E9=Text!F70,Text!J70,J65)))))</f>
        <v>34.25</v>
      </c>
      <c r="I73" t="str">
        <f>INT(H73) &amp; ":" &amp; ROUND((H73-INT(H73))*60,0)</f>
        <v>34:15</v>
      </c>
      <c r="J73" t="str">
        <f>IF(RIGHT(I73,1)="0", I73 &amp; "0", I73)</f>
        <v>34:15</v>
      </c>
    </row>
    <row r="74" spans="6:12" x14ac:dyDescent="0.25">
      <c r="F74" s="8" t="s">
        <v>88</v>
      </c>
      <c r="H74" s="71">
        <f>IF('Grund kalkyl'!E9=Text!F66,Text!L66,IF('Grund kalkyl'!E9=Text!F67,Text!L67,IF('Grund kalkyl'!E9=Text!F68,Text!L68,IF('Grund kalkyl'!E9=Text!F69,Text!L69,IF('Grund kalkyl'!E9=Text!F70,Text!L70,L65)))))*4</f>
        <v>-23</v>
      </c>
      <c r="I74" t="str">
        <f>INT(H74) &amp; ":" &amp; ROUND((H74-INT(H74))*60,0)</f>
        <v>-23:0</v>
      </c>
      <c r="J74" t="str">
        <f>IF(RIGHT(I74,1)="0", I74 &amp; "0", I74)</f>
        <v>-23:00</v>
      </c>
    </row>
    <row r="79" spans="6:12" ht="409.6" x14ac:dyDescent="0.25">
      <c r="F79" s="83" t="s">
        <v>94</v>
      </c>
    </row>
  </sheetData>
  <mergeCells count="3">
    <mergeCell ref="B40:B47"/>
    <mergeCell ref="H23:I23"/>
    <mergeCell ref="O27:Q27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6D5EDA1DBB724A89DDA24FEF54061D" ma:contentTypeVersion="11" ma:contentTypeDescription="Create a new document." ma:contentTypeScope="" ma:versionID="af35d87d75abe4edc01cfb7f42667e03">
  <xsd:schema xmlns:xsd="http://www.w3.org/2001/XMLSchema" xmlns:xs="http://www.w3.org/2001/XMLSchema" xmlns:p="http://schemas.microsoft.com/office/2006/metadata/properties" xmlns:ns3="62f70bb2-fc5d-470f-a9ad-90fc98e82504" xmlns:ns4="9ca6e48b-a183-4921-8051-1ce0769314c9" targetNamespace="http://schemas.microsoft.com/office/2006/metadata/properties" ma:root="true" ma:fieldsID="5a854faca4e3ee3e71d030bb72c47fa4" ns3:_="" ns4:_="">
    <xsd:import namespace="62f70bb2-fc5d-470f-a9ad-90fc98e82504"/>
    <xsd:import namespace="9ca6e48b-a183-4921-8051-1ce0769314c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f70bb2-fc5d-470f-a9ad-90fc98e8250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a6e48b-a183-4921-8051-1ce0769314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ED2866-6631-45A8-A6EC-91B7B8FD7B8A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9ca6e48b-a183-4921-8051-1ce0769314c9"/>
    <ds:schemaRef ds:uri="http://schemas.openxmlformats.org/package/2006/metadata/core-properties"/>
    <ds:schemaRef ds:uri="http://schemas.microsoft.com/office/2006/documentManagement/types"/>
    <ds:schemaRef ds:uri="62f70bb2-fc5d-470f-a9ad-90fc98e8250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2488DAC-C55A-43DF-B0FC-FBD4ECE313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2C180C-D5B0-4A84-8B2B-CFB3D98389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f70bb2-fc5d-470f-a9ad-90fc98e82504"/>
    <ds:schemaRef ds:uri="9ca6e48b-a183-4921-8051-1ce0769314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4</vt:i4>
      </vt:variant>
    </vt:vector>
  </HeadingPairs>
  <TitlesOfParts>
    <vt:vector size="6" baseType="lpstr">
      <vt:lpstr>Grund kalkyl</vt:lpstr>
      <vt:lpstr>Text</vt:lpstr>
      <vt:lpstr>helgpass</vt:lpstr>
      <vt:lpstr>kväll</vt:lpstr>
      <vt:lpstr>natt</vt:lpstr>
      <vt:lpstr>ålder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Törnqvist</dc:creator>
  <cp:lastModifiedBy>Mårten Blomberg</cp:lastModifiedBy>
  <dcterms:created xsi:type="dcterms:W3CDTF">2018-04-13T13:12:46Z</dcterms:created>
  <dcterms:modified xsi:type="dcterms:W3CDTF">2023-07-03T11:43:23Z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0x010100EC6D5EDA1DBB724A89DDA24FEF54061D</vt:lpwstr>
  </property>
</Properties>
</file>